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28.xml" ContentType="application/vnd.ms-excel.controlproperties+xml"/>
  <Override PartName="/xl/comments6.xml" ContentType="application/vnd.openxmlformats-officedocument.spreadsheetml.comments+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mc:AlternateContent xmlns:mc="http://schemas.openxmlformats.org/markup-compatibility/2006">
    <mc:Choice Requires="x15">
      <x15ac:absPath xmlns:x15ac="http://schemas.microsoft.com/office/spreadsheetml/2010/11/ac" url="C:\Users\Marlene\Desktop\"/>
    </mc:Choice>
  </mc:AlternateContent>
  <xr:revisionPtr revIDLastSave="0" documentId="8_{CFD2BFD3-48D1-44E7-83EA-C30E88AA669A}" xr6:coauthVersionLast="36" xr6:coauthVersionMax="36" xr10:uidLastSave="{00000000-0000-0000-0000-000000000000}"/>
  <bookViews>
    <workbookView xWindow="0" yWindow="0" windowWidth="28800" windowHeight="14025" tabRatio="770" activeTab="1" xr2:uid="{00000000-000D-0000-FFFF-FFFF00000000}"/>
  </bookViews>
  <sheets>
    <sheet name="Deckblatt" sheetId="23" r:id="rId1"/>
    <sheet name="Bier-Berechnung" sheetId="17" r:id="rId2"/>
    <sheet name="Rezept+Protokoll" sheetId="22" r:id="rId3"/>
    <sheet name="Biersorten" sheetId="10" r:id="rId4"/>
    <sheet name="Malze" sheetId="7" r:id="rId5"/>
    <sheet name="Hopfen" sheetId="8" r:id="rId6"/>
    <sheet name="Hefe" sheetId="15" r:id="rId7"/>
    <sheet name="Brauzusätze" sheetId="14" r:id="rId8"/>
    <sheet name="Eckdaten" sheetId="19" r:id="rId9"/>
    <sheet name="Bierfarbe" sheetId="12" r:id="rId10"/>
    <sheet name="Berechnungen" sheetId="18" state="hidden" r:id="rId11"/>
    <sheet name="Tabellen" sheetId="3" state="hidden" r:id="rId12"/>
    <sheet name="Brennnerleistungen" sheetId="24" r:id="rId13"/>
  </sheets>
  <definedNames>
    <definedName name="_c">#REF!</definedName>
    <definedName name="Biernamen">Biersorten!$C$6:$C$79</definedName>
    <definedName name="d">#REF!</definedName>
    <definedName name="_xlnm.Print_Area" localSheetId="1">'Bier-Berechnung'!$A$1:$H$88</definedName>
    <definedName name="_xlnm.Print_Area" localSheetId="0">Deckblatt!$A$1:$H$53</definedName>
    <definedName name="_xlnm.Print_Area" localSheetId="2">'Rezept+Protokoll'!$A$1:$I$81</definedName>
    <definedName name="m">#REF!</definedName>
  </definedNames>
  <calcPr calcId="191029" iterate="1"/>
</workbook>
</file>

<file path=xl/calcChain.xml><?xml version="1.0" encoding="utf-8"?>
<calcChain xmlns="http://schemas.openxmlformats.org/spreadsheetml/2006/main">
  <c r="E20" i="17" l="1"/>
  <c r="G20" i="17" s="1"/>
  <c r="B10" i="24" l="1"/>
  <c r="C10" i="24"/>
  <c r="D10" i="24"/>
  <c r="E10" i="24"/>
  <c r="F10" i="24"/>
  <c r="G10" i="24"/>
  <c r="H10" i="24"/>
  <c r="I10" i="24"/>
  <c r="J10" i="24"/>
  <c r="K10" i="24"/>
  <c r="B11" i="24"/>
  <c r="C11" i="24"/>
  <c r="D11" i="24"/>
  <c r="E11" i="24"/>
  <c r="F11" i="24"/>
  <c r="G11" i="24"/>
  <c r="H11" i="24"/>
  <c r="I11" i="24"/>
  <c r="J11" i="24"/>
  <c r="K11" i="24"/>
  <c r="B12" i="24"/>
  <c r="C12" i="24"/>
  <c r="D12" i="24"/>
  <c r="E12" i="24"/>
  <c r="F12" i="24"/>
  <c r="G12" i="24"/>
  <c r="H12" i="24"/>
  <c r="I12" i="24"/>
  <c r="J12" i="24"/>
  <c r="K12" i="24"/>
  <c r="B13" i="24"/>
  <c r="C13" i="24"/>
  <c r="D13" i="24"/>
  <c r="E13" i="24"/>
  <c r="F13" i="24"/>
  <c r="G13" i="24"/>
  <c r="H13" i="24"/>
  <c r="I13" i="24"/>
  <c r="J13" i="24"/>
  <c r="K13" i="24"/>
  <c r="B14" i="24"/>
  <c r="C14" i="24"/>
  <c r="D14" i="24"/>
  <c r="E14" i="24"/>
  <c r="F14" i="24"/>
  <c r="G14" i="24"/>
  <c r="H14" i="24"/>
  <c r="I14" i="24"/>
  <c r="J14" i="24"/>
  <c r="K14" i="24"/>
  <c r="B15" i="24"/>
  <c r="C15" i="24"/>
  <c r="D15" i="24"/>
  <c r="E15" i="24"/>
  <c r="F15" i="24"/>
  <c r="G15" i="24"/>
  <c r="H15" i="24"/>
  <c r="I15" i="24"/>
  <c r="J15" i="24"/>
  <c r="K15" i="24"/>
  <c r="B16" i="24"/>
  <c r="C16" i="24"/>
  <c r="D16" i="24"/>
  <c r="E16" i="24"/>
  <c r="F16" i="24"/>
  <c r="G16" i="24"/>
  <c r="H16" i="24"/>
  <c r="I16" i="24"/>
  <c r="J16" i="24"/>
  <c r="K16" i="24"/>
  <c r="B17" i="24"/>
  <c r="C17" i="24"/>
  <c r="D17" i="24"/>
  <c r="E17" i="24"/>
  <c r="F17" i="24"/>
  <c r="G17" i="24"/>
  <c r="H17" i="24"/>
  <c r="I17" i="24"/>
  <c r="J17" i="24"/>
  <c r="K17" i="24"/>
  <c r="B18" i="24"/>
  <c r="C18" i="24"/>
  <c r="D18" i="24"/>
  <c r="E18" i="24"/>
  <c r="F18" i="24"/>
  <c r="G18" i="24"/>
  <c r="H18" i="24"/>
  <c r="I18" i="24"/>
  <c r="J18" i="24"/>
  <c r="K18" i="24"/>
  <c r="B19" i="24"/>
  <c r="C19" i="24"/>
  <c r="D19" i="24"/>
  <c r="E19" i="24"/>
  <c r="F19" i="24"/>
  <c r="G19" i="24"/>
  <c r="H19" i="24"/>
  <c r="I19" i="24"/>
  <c r="J19" i="24"/>
  <c r="K19" i="24"/>
  <c r="B20" i="24"/>
  <c r="C20" i="24"/>
  <c r="D20" i="24"/>
  <c r="E20" i="24"/>
  <c r="F20" i="24"/>
  <c r="G20" i="24"/>
  <c r="H20" i="24"/>
  <c r="I20" i="24"/>
  <c r="J20" i="24"/>
  <c r="K20" i="24"/>
  <c r="B21" i="24"/>
  <c r="C21" i="24"/>
  <c r="D21" i="24"/>
  <c r="E21" i="24"/>
  <c r="F21" i="24"/>
  <c r="G21" i="24"/>
  <c r="H21" i="24"/>
  <c r="I21" i="24"/>
  <c r="J21" i="24"/>
  <c r="K21" i="24"/>
  <c r="B22" i="24"/>
  <c r="C22" i="24"/>
  <c r="D22" i="24"/>
  <c r="E22" i="24"/>
  <c r="F22" i="24"/>
  <c r="G22" i="24"/>
  <c r="H22" i="24"/>
  <c r="I22" i="24"/>
  <c r="J22" i="24"/>
  <c r="K22" i="24"/>
  <c r="B23" i="24"/>
  <c r="C23" i="24"/>
  <c r="D23" i="24"/>
  <c r="E23" i="24"/>
  <c r="F23" i="24"/>
  <c r="G23" i="24"/>
  <c r="H23" i="24"/>
  <c r="I23" i="24"/>
  <c r="J23" i="24"/>
  <c r="K23" i="24"/>
  <c r="B24" i="24"/>
  <c r="C24" i="24"/>
  <c r="D24" i="24"/>
  <c r="E24" i="24"/>
  <c r="F24" i="24"/>
  <c r="G24" i="24"/>
  <c r="H24" i="24"/>
  <c r="I24" i="24"/>
  <c r="J24" i="24"/>
  <c r="K24" i="24"/>
  <c r="C7" i="23"/>
  <c r="C6" i="23"/>
  <c r="C4" i="23"/>
  <c r="C13" i="18" l="1"/>
  <c r="C12" i="18"/>
  <c r="D53" i="22" l="1"/>
  <c r="D66" i="22" s="1"/>
  <c r="E7" i="17"/>
  <c r="C5" i="23" s="1"/>
  <c r="E65" i="22" l="1"/>
  <c r="B45" i="22"/>
  <c r="C65" i="22"/>
  <c r="C51" i="18"/>
  <c r="D58" i="22" l="1"/>
  <c r="B85" i="18" l="1"/>
  <c r="B93" i="18"/>
  <c r="C8" i="18"/>
  <c r="D67" i="22"/>
  <c r="B67" i="18"/>
  <c r="B3" i="22" l="1"/>
  <c r="E3" i="22" l="1"/>
  <c r="B52" i="18"/>
  <c r="B50" i="18"/>
  <c r="B49" i="18"/>
  <c r="B48" i="18"/>
  <c r="B47" i="18"/>
  <c r="B46" i="18"/>
  <c r="D49" i="22"/>
  <c r="D48" i="22"/>
  <c r="D47" i="22"/>
  <c r="D46" i="22"/>
  <c r="D45" i="22"/>
  <c r="C49" i="22"/>
  <c r="C48" i="22"/>
  <c r="C47" i="22"/>
  <c r="C46" i="22"/>
  <c r="C45" i="22"/>
  <c r="E13" i="22"/>
  <c r="E12" i="22"/>
  <c r="B51" i="18" l="1"/>
  <c r="C25" i="18"/>
  <c r="C24" i="18"/>
  <c r="D51" i="18" l="1"/>
  <c r="E73" i="17"/>
  <c r="B92" i="18" l="1"/>
  <c r="B83" i="18"/>
  <c r="B75" i="18"/>
  <c r="D52" i="17"/>
  <c r="B60" i="18"/>
  <c r="B62" i="18" s="1"/>
  <c r="B63" i="18" s="1"/>
  <c r="B70" i="18" s="1"/>
  <c r="B74" i="18" l="1"/>
  <c r="B76" i="18" s="1"/>
  <c r="B65" i="18"/>
  <c r="B66" i="18" s="1"/>
  <c r="B86" i="18" s="1"/>
  <c r="B78" i="18" l="1"/>
  <c r="B77" i="18"/>
  <c r="B79" i="18" s="1"/>
  <c r="D56" i="17"/>
  <c r="F56" i="17" s="1"/>
  <c r="G56" i="17"/>
  <c r="B80" i="18" l="1"/>
  <c r="D76" i="22" s="1"/>
  <c r="E58" i="22"/>
  <c r="B68" i="18"/>
  <c r="B51" i="22" l="1"/>
  <c r="B49" i="22"/>
  <c r="B48" i="22"/>
  <c r="B47" i="22"/>
  <c r="B46" i="22"/>
  <c r="F13" i="22"/>
  <c r="E15" i="22"/>
  <c r="F15" i="22" l="1"/>
  <c r="F17" i="22"/>
  <c r="F16" i="22"/>
  <c r="E14" i="22"/>
  <c r="E17" i="22"/>
  <c r="E16" i="22"/>
  <c r="B16" i="22"/>
  <c r="C15" i="22"/>
  <c r="B15" i="22"/>
  <c r="C14" i="22"/>
  <c r="B14" i="22"/>
  <c r="B13" i="22"/>
  <c r="B12" i="22"/>
  <c r="H13" i="19"/>
  <c r="H12" i="19"/>
  <c r="H10" i="19"/>
  <c r="H9" i="19"/>
  <c r="H8" i="19"/>
  <c r="H7" i="19"/>
  <c r="B46" i="17" l="1"/>
  <c r="D29" i="22" l="1"/>
  <c r="H4" i="22"/>
  <c r="D51" i="22" l="1"/>
  <c r="D84" i="17"/>
  <c r="E50" i="17"/>
  <c r="E61" i="22" l="1"/>
  <c r="E84" i="17"/>
  <c r="B84" i="17" s="1"/>
  <c r="E51" i="22"/>
  <c r="C51" i="22"/>
  <c r="H37" i="19"/>
  <c r="C23" i="18" s="1"/>
  <c r="C26" i="18" s="1"/>
  <c r="D61" i="22" l="1"/>
  <c r="J13" i="19"/>
  <c r="J12" i="19"/>
  <c r="J10" i="19"/>
  <c r="J9" i="19"/>
  <c r="J8" i="19"/>
  <c r="J7" i="19"/>
  <c r="C9" i="18" l="1"/>
  <c r="C10" i="18" s="1"/>
  <c r="C52" i="18"/>
  <c r="C50" i="18"/>
  <c r="C49" i="18"/>
  <c r="E71" i="17" s="1"/>
  <c r="C48" i="18"/>
  <c r="C47" i="18"/>
  <c r="C46" i="18"/>
  <c r="D48" i="18" l="1"/>
  <c r="E68" i="17"/>
  <c r="E66" i="17"/>
  <c r="D46" i="18"/>
  <c r="D47" i="18"/>
  <c r="E67" i="17"/>
  <c r="E72" i="17"/>
  <c r="D50" i="18"/>
  <c r="D52" i="18"/>
  <c r="E77" i="17"/>
  <c r="D49" i="18"/>
  <c r="E30" i="17"/>
  <c r="E29" i="17"/>
  <c r="E78" i="17" l="1"/>
  <c r="F31" i="17"/>
  <c r="C30" i="18"/>
  <c r="E79" i="17" l="1"/>
  <c r="F79" i="17" s="1"/>
  <c r="C31" i="18"/>
  <c r="C32" i="18" s="1"/>
  <c r="D32" i="17"/>
  <c r="E32" i="17"/>
  <c r="E31" i="17"/>
  <c r="D31" i="17"/>
  <c r="D30" i="17"/>
  <c r="D29" i="17"/>
  <c r="E28" i="17"/>
  <c r="D28" i="17"/>
  <c r="D36" i="17" l="1"/>
  <c r="E36" i="17"/>
  <c r="E35" i="17"/>
  <c r="D35" i="17"/>
  <c r="D40" i="17" l="1"/>
  <c r="E40" i="17"/>
  <c r="E39" i="17"/>
  <c r="D39" i="17"/>
  <c r="D44" i="17"/>
  <c r="E44" i="17"/>
  <c r="E43" i="17"/>
  <c r="D43" i="17"/>
  <c r="D46" i="17" l="1"/>
  <c r="C39" i="18"/>
  <c r="C33" i="18"/>
  <c r="C34" i="18" s="1"/>
  <c r="C35" i="18" s="1"/>
  <c r="B87" i="18" l="1"/>
  <c r="B94" i="18"/>
  <c r="B95" i="18" s="1"/>
  <c r="F52" i="17"/>
  <c r="C15" i="18"/>
  <c r="F32" i="17"/>
  <c r="C16" i="22" s="1"/>
  <c r="F39" i="17"/>
  <c r="F14" i="22" s="1"/>
  <c r="F40" i="17"/>
  <c r="F36" i="17"/>
  <c r="F44" i="17"/>
  <c r="F43" i="17"/>
  <c r="F35" i="17"/>
  <c r="F12" i="22" s="1"/>
  <c r="F30" i="17"/>
  <c r="F29" i="17"/>
  <c r="C13" i="22" s="1"/>
  <c r="F28" i="17"/>
  <c r="C12" i="22" s="1"/>
  <c r="G10" i="17"/>
  <c r="G15" i="17"/>
  <c r="G12" i="17"/>
  <c r="E12" i="17" s="1"/>
  <c r="B88" i="18" l="1"/>
  <c r="D77" i="22" s="1"/>
  <c r="C18" i="22"/>
  <c r="C7" i="22"/>
  <c r="F7" i="22" s="1"/>
  <c r="G14" i="17"/>
  <c r="G13" i="17"/>
  <c r="G11" i="17"/>
  <c r="G9" i="17"/>
  <c r="E58" i="3" l="1"/>
  <c r="E57" i="3" s="1"/>
  <c r="E56" i="3" s="1"/>
  <c r="E55" i="3" s="1"/>
  <c r="E54" i="3" s="1"/>
  <c r="E53" i="3" s="1"/>
  <c r="E52" i="3" s="1"/>
  <c r="E51" i="3" s="1"/>
  <c r="E50" i="3" s="1"/>
  <c r="E49" i="3" s="1"/>
  <c r="E48" i="3" s="1"/>
  <c r="E47" i="3" s="1"/>
  <c r="E46" i="3" s="1"/>
  <c r="E45" i="3" s="1"/>
  <c r="E44" i="3" s="1"/>
  <c r="E43" i="3" s="1"/>
  <c r="E42" i="3" s="1"/>
  <c r="E41" i="3" s="1"/>
  <c r="E40" i="3" s="1"/>
  <c r="E39" i="3" s="1"/>
  <c r="E38" i="3" s="1"/>
  <c r="E37" i="3" s="1"/>
  <c r="E36" i="3" s="1"/>
  <c r="E35" i="3" s="1"/>
  <c r="E34" i="3" s="1"/>
  <c r="E33" i="3" s="1"/>
  <c r="E32" i="3" s="1"/>
  <c r="E31" i="3" s="1"/>
  <c r="E30" i="3" s="1"/>
  <c r="E29" i="3" s="1"/>
  <c r="E28" i="3" s="1"/>
  <c r="E27" i="3" s="1"/>
  <c r="E26" i="3" s="1"/>
  <c r="E25" i="3" s="1"/>
  <c r="E24" i="3" s="1"/>
  <c r="E23" i="3" s="1"/>
  <c r="E22" i="3" s="1"/>
  <c r="E21" i="3" s="1"/>
  <c r="E20" i="3" s="1"/>
  <c r="E19" i="3" s="1"/>
  <c r="E18" i="3" s="1"/>
  <c r="E17" i="3" s="1"/>
  <c r="E16" i="3" s="1"/>
  <c r="E15" i="3" s="1"/>
  <c r="E14" i="3" s="1"/>
  <c r="E13" i="3" s="1"/>
  <c r="E12" i="3" s="1"/>
  <c r="E11" i="3" s="1"/>
  <c r="E10" i="3" s="1"/>
  <c r="E9" i="3" s="1"/>
  <c r="E8" i="3" s="1"/>
  <c r="E7" i="3" s="1"/>
  <c r="F57" i="3"/>
  <c r="F56" i="3" s="1"/>
  <c r="F55" i="3" s="1"/>
  <c r="F54" i="3" s="1"/>
  <c r="F53" i="3" s="1"/>
  <c r="F52" i="3" s="1"/>
  <c r="F51" i="3" s="1"/>
  <c r="F50" i="3" s="1"/>
  <c r="F49" i="3" s="1"/>
  <c r="F48" i="3" s="1"/>
  <c r="F47" i="3" s="1"/>
  <c r="F46" i="3" s="1"/>
  <c r="F45" i="3" s="1"/>
  <c r="F44" i="3" s="1"/>
  <c r="F43" i="3" s="1"/>
  <c r="F42" i="3" s="1"/>
  <c r="F41" i="3" s="1"/>
  <c r="F40" i="3" s="1"/>
  <c r="F39" i="3" s="1"/>
  <c r="F38" i="3" s="1"/>
  <c r="F37" i="3" s="1"/>
  <c r="F36" i="3" s="1"/>
  <c r="F35" i="3" s="1"/>
  <c r="F34" i="3" s="1"/>
  <c r="F33" i="3" s="1"/>
  <c r="F32" i="3" s="1"/>
  <c r="F31" i="3" s="1"/>
  <c r="F30" i="3" s="1"/>
  <c r="F29" i="3" s="1"/>
  <c r="F28" i="3" s="1"/>
  <c r="F27" i="3" s="1"/>
  <c r="F26" i="3" s="1"/>
  <c r="F25" i="3" s="1"/>
  <c r="F24" i="3" s="1"/>
  <c r="F23" i="3" s="1"/>
  <c r="F22" i="3" s="1"/>
  <c r="F21" i="3" s="1"/>
  <c r="F20" i="3" s="1"/>
  <c r="F19" i="3" s="1"/>
  <c r="F18" i="3" s="1"/>
  <c r="F17" i="3" s="1"/>
  <c r="F16" i="3" s="1"/>
  <c r="F15" i="3" s="1"/>
  <c r="F14" i="3" s="1"/>
  <c r="F13" i="3" s="1"/>
  <c r="F12" i="3" s="1"/>
  <c r="F11" i="3" s="1"/>
  <c r="F10" i="3" s="1"/>
  <c r="F9" i="3" s="1"/>
  <c r="F8" i="3" s="1"/>
  <c r="F7" i="3" s="1"/>
  <c r="G57" i="3"/>
  <c r="G56" i="3" s="1"/>
  <c r="G55" i="3" s="1"/>
  <c r="G54" i="3" s="1"/>
  <c r="G53" i="3" s="1"/>
  <c r="G52" i="3" s="1"/>
  <c r="G51" i="3" s="1"/>
  <c r="G50" i="3" s="1"/>
  <c r="G49" i="3" s="1"/>
  <c r="G48" i="3" s="1"/>
  <c r="G47" i="3" s="1"/>
  <c r="G46" i="3" s="1"/>
  <c r="G45" i="3" s="1"/>
  <c r="G44" i="3" s="1"/>
  <c r="H57" i="3"/>
  <c r="H56" i="3" s="1"/>
  <c r="H55" i="3" s="1"/>
  <c r="H54" i="3" s="1"/>
  <c r="H53" i="3" s="1"/>
  <c r="H52" i="3" s="1"/>
  <c r="H51" i="3" s="1"/>
  <c r="H50" i="3" s="1"/>
  <c r="H49" i="3" s="1"/>
  <c r="H48" i="3" s="1"/>
  <c r="H47" i="3" s="1"/>
  <c r="H46" i="3" s="1"/>
  <c r="H45" i="3" s="1"/>
  <c r="H44" i="3" s="1"/>
  <c r="I58" i="3"/>
  <c r="I43" i="3"/>
  <c r="J43" i="3" s="1"/>
  <c r="E73" i="3"/>
  <c r="D73" i="3" s="1"/>
  <c r="F72" i="3"/>
  <c r="F71" i="3" s="1"/>
  <c r="F70" i="3" s="1"/>
  <c r="F69" i="3" s="1"/>
  <c r="F68" i="3" s="1"/>
  <c r="F67" i="3" s="1"/>
  <c r="F66" i="3" s="1"/>
  <c r="F65" i="3" s="1"/>
  <c r="F64" i="3" s="1"/>
  <c r="F63" i="3" s="1"/>
  <c r="F62" i="3" s="1"/>
  <c r="F61" i="3" s="1"/>
  <c r="F60" i="3" s="1"/>
  <c r="F59" i="3" s="1"/>
  <c r="G73" i="3"/>
  <c r="G72" i="3" s="1"/>
  <c r="G71" i="3" s="1"/>
  <c r="G70" i="3" s="1"/>
  <c r="G69" i="3" s="1"/>
  <c r="G68" i="3" s="1"/>
  <c r="G67" i="3" s="1"/>
  <c r="G66" i="3" s="1"/>
  <c r="G65" i="3" s="1"/>
  <c r="G64" i="3" s="1"/>
  <c r="G63" i="3" s="1"/>
  <c r="G62" i="3" s="1"/>
  <c r="G61" i="3" s="1"/>
  <c r="G60" i="3" s="1"/>
  <c r="G59" i="3" s="1"/>
  <c r="H72" i="3"/>
  <c r="H71" i="3" s="1"/>
  <c r="H70" i="3" s="1"/>
  <c r="H69" i="3" s="1"/>
  <c r="H68" i="3" s="1"/>
  <c r="H67" i="3" s="1"/>
  <c r="H66" i="3" s="1"/>
  <c r="H65" i="3" s="1"/>
  <c r="H64" i="3" s="1"/>
  <c r="H63" i="3" s="1"/>
  <c r="H62" i="3" s="1"/>
  <c r="H61" i="3" s="1"/>
  <c r="H60" i="3" s="1"/>
  <c r="H59" i="3" s="1"/>
  <c r="I73" i="3"/>
  <c r="J73" i="3" s="1"/>
  <c r="K73" i="3" s="1"/>
  <c r="E81" i="3"/>
  <c r="D81" i="3" s="1"/>
  <c r="C81" i="3" s="1"/>
  <c r="B81" i="3" s="1"/>
  <c r="F80" i="3"/>
  <c r="F79" i="3" s="1"/>
  <c r="F78" i="3" s="1"/>
  <c r="F77" i="3" s="1"/>
  <c r="F76" i="3" s="1"/>
  <c r="F75" i="3" s="1"/>
  <c r="F74" i="3" s="1"/>
  <c r="B115" i="3"/>
  <c r="B116" i="3"/>
  <c r="B117" i="3"/>
  <c r="B118" i="3"/>
  <c r="B119" i="3"/>
  <c r="B120" i="3"/>
  <c r="B121" i="3"/>
  <c r="B122" i="3"/>
  <c r="B123" i="3"/>
  <c r="B124" i="3"/>
  <c r="B125" i="3"/>
  <c r="G81" i="3"/>
  <c r="G42" i="3"/>
  <c r="G41" i="3" s="1"/>
  <c r="G40" i="3" s="1"/>
  <c r="G39" i="3" s="1"/>
  <c r="G38" i="3" s="1"/>
  <c r="G37" i="3" s="1"/>
  <c r="G36" i="3" s="1"/>
  <c r="G35" i="3" s="1"/>
  <c r="G34" i="3" s="1"/>
  <c r="G33" i="3" s="1"/>
  <c r="G32" i="3" s="1"/>
  <c r="G31" i="3" s="1"/>
  <c r="G30" i="3" s="1"/>
  <c r="G29" i="3" s="1"/>
  <c r="G28" i="3" s="1"/>
  <c r="G27" i="3" s="1"/>
  <c r="G26" i="3" s="1"/>
  <c r="G25" i="3" s="1"/>
  <c r="G24" i="3" s="1"/>
  <c r="G23" i="3" s="1"/>
  <c r="G22" i="3" s="1"/>
  <c r="G21" i="3" s="1"/>
  <c r="G20" i="3" s="1"/>
  <c r="G19" i="3" s="1"/>
  <c r="G18" i="3" s="1"/>
  <c r="G17" i="3" s="1"/>
  <c r="G16" i="3" s="1"/>
  <c r="G15" i="3" s="1"/>
  <c r="G14" i="3" s="1"/>
  <c r="G13" i="3" s="1"/>
  <c r="G12" i="3" s="1"/>
  <c r="G11" i="3" s="1"/>
  <c r="G10" i="3" s="1"/>
  <c r="G9" i="3" s="1"/>
  <c r="G8" i="3" s="1"/>
  <c r="G7" i="3" s="1"/>
  <c r="H42" i="3"/>
  <c r="H41" i="3" s="1"/>
  <c r="H40" i="3" s="1"/>
  <c r="H39" i="3" s="1"/>
  <c r="H38" i="3" s="1"/>
  <c r="H37" i="3" s="1"/>
  <c r="H36" i="3" s="1"/>
  <c r="H35" i="3" s="1"/>
  <c r="H34" i="3" s="1"/>
  <c r="H33" i="3" s="1"/>
  <c r="H32" i="3" s="1"/>
  <c r="H31" i="3" s="1"/>
  <c r="H30" i="3" s="1"/>
  <c r="H29" i="3" s="1"/>
  <c r="H28" i="3" s="1"/>
  <c r="H27" i="3" s="1"/>
  <c r="H26" i="3" s="1"/>
  <c r="H25" i="3" s="1"/>
  <c r="H24" i="3" s="1"/>
  <c r="H23" i="3" s="1"/>
  <c r="H22" i="3" s="1"/>
  <c r="H21" i="3" s="1"/>
  <c r="H20" i="3" s="1"/>
  <c r="H19" i="3" s="1"/>
  <c r="H18" i="3" s="1"/>
  <c r="H17" i="3" s="1"/>
  <c r="H16" i="3" s="1"/>
  <c r="H15" i="3" s="1"/>
  <c r="H14" i="3" s="1"/>
  <c r="H13" i="3" s="1"/>
  <c r="H12" i="3" s="1"/>
  <c r="H11" i="3" s="1"/>
  <c r="H10" i="3" s="1"/>
  <c r="H9" i="3" s="1"/>
  <c r="H8" i="3" s="1"/>
  <c r="H7" i="3" s="1"/>
  <c r="I81" i="3"/>
  <c r="H80" i="3"/>
  <c r="H79" i="3" s="1"/>
  <c r="H78" i="3" s="1"/>
  <c r="H77" i="3" s="1"/>
  <c r="H76" i="3" s="1"/>
  <c r="H75" i="3" s="1"/>
  <c r="H74" i="3" s="1"/>
  <c r="B114" i="3"/>
  <c r="D58" i="3" l="1"/>
  <c r="C58" i="3" s="1"/>
  <c r="C57" i="3" s="1"/>
  <c r="C56" i="3" s="1"/>
  <c r="C55" i="3" s="1"/>
  <c r="C54" i="3" s="1"/>
  <c r="C53" i="3" s="1"/>
  <c r="C52" i="3" s="1"/>
  <c r="C51" i="3" s="1"/>
  <c r="C50" i="3" s="1"/>
  <c r="C49" i="3" s="1"/>
  <c r="C48" i="3" s="1"/>
  <c r="C47" i="3" s="1"/>
  <c r="C46" i="3" s="1"/>
  <c r="C45" i="3" s="1"/>
  <c r="C44" i="3" s="1"/>
  <c r="C43" i="3" s="1"/>
  <c r="C42" i="3" s="1"/>
  <c r="C41" i="3" s="1"/>
  <c r="C40" i="3" s="1"/>
  <c r="C39" i="3" s="1"/>
  <c r="C38" i="3" s="1"/>
  <c r="C37" i="3" s="1"/>
  <c r="C36" i="3" s="1"/>
  <c r="C35" i="3" s="1"/>
  <c r="C34" i="3" s="1"/>
  <c r="C33" i="3" s="1"/>
  <c r="C32" i="3" s="1"/>
  <c r="C31" i="3" s="1"/>
  <c r="C30" i="3" s="1"/>
  <c r="C29" i="3" s="1"/>
  <c r="C28" i="3" s="1"/>
  <c r="C27" i="3" s="1"/>
  <c r="C26" i="3" s="1"/>
  <c r="C25" i="3" s="1"/>
  <c r="C24" i="3" s="1"/>
  <c r="C23" i="3" s="1"/>
  <c r="C22" i="3" s="1"/>
  <c r="C21" i="3" s="1"/>
  <c r="C20" i="3" s="1"/>
  <c r="C19" i="3" s="1"/>
  <c r="C18" i="3" s="1"/>
  <c r="C17" i="3" s="1"/>
  <c r="C16" i="3" s="1"/>
  <c r="C15" i="3" s="1"/>
  <c r="C14" i="3" s="1"/>
  <c r="C13" i="3" s="1"/>
  <c r="C12" i="3" s="1"/>
  <c r="C11" i="3" s="1"/>
  <c r="C10" i="3" s="1"/>
  <c r="C9" i="3" s="1"/>
  <c r="C8" i="3" s="1"/>
  <c r="C7" i="3" s="1"/>
  <c r="D80" i="3"/>
  <c r="D79" i="3" s="1"/>
  <c r="D78" i="3" s="1"/>
  <c r="D77" i="3" s="1"/>
  <c r="D76" i="3" s="1"/>
  <c r="D75" i="3" s="1"/>
  <c r="D74" i="3" s="1"/>
  <c r="E72" i="3"/>
  <c r="E71" i="3" s="1"/>
  <c r="E70" i="3" s="1"/>
  <c r="E69" i="3" s="1"/>
  <c r="E68" i="3" s="1"/>
  <c r="E67" i="3" s="1"/>
  <c r="E66" i="3" s="1"/>
  <c r="E65" i="3" s="1"/>
  <c r="E64" i="3" s="1"/>
  <c r="E63" i="3" s="1"/>
  <c r="E62" i="3" s="1"/>
  <c r="E61" i="3" s="1"/>
  <c r="E60" i="3" s="1"/>
  <c r="E59" i="3" s="1"/>
  <c r="E80" i="3"/>
  <c r="E79" i="3" s="1"/>
  <c r="E78" i="3" s="1"/>
  <c r="E77" i="3" s="1"/>
  <c r="E76" i="3" s="1"/>
  <c r="E75" i="3" s="1"/>
  <c r="E74" i="3" s="1"/>
  <c r="I42" i="3"/>
  <c r="I41" i="3" s="1"/>
  <c r="I40" i="3" s="1"/>
  <c r="I39" i="3" s="1"/>
  <c r="I38" i="3" s="1"/>
  <c r="I37" i="3" s="1"/>
  <c r="I36" i="3" s="1"/>
  <c r="I35" i="3" s="1"/>
  <c r="I34" i="3" s="1"/>
  <c r="I33" i="3" s="1"/>
  <c r="I32" i="3" s="1"/>
  <c r="I31" i="3" s="1"/>
  <c r="I30" i="3" s="1"/>
  <c r="I29" i="3" s="1"/>
  <c r="I28" i="3" s="1"/>
  <c r="I27" i="3" s="1"/>
  <c r="I26" i="3" s="1"/>
  <c r="I25" i="3" s="1"/>
  <c r="I24" i="3" s="1"/>
  <c r="I23" i="3" s="1"/>
  <c r="I22" i="3" s="1"/>
  <c r="I21" i="3" s="1"/>
  <c r="I20" i="3" s="1"/>
  <c r="I19" i="3" s="1"/>
  <c r="I18" i="3" s="1"/>
  <c r="I17" i="3" s="1"/>
  <c r="I16" i="3" s="1"/>
  <c r="I15" i="3" s="1"/>
  <c r="I14" i="3" s="1"/>
  <c r="I13" i="3" s="1"/>
  <c r="I12" i="3" s="1"/>
  <c r="I11" i="3" s="1"/>
  <c r="I10" i="3" s="1"/>
  <c r="I9" i="3" s="1"/>
  <c r="I8" i="3" s="1"/>
  <c r="I7" i="3" s="1"/>
  <c r="G80" i="3"/>
  <c r="G79" i="3" s="1"/>
  <c r="G78" i="3" s="1"/>
  <c r="G77" i="3" s="1"/>
  <c r="G76" i="3" s="1"/>
  <c r="G75" i="3" s="1"/>
  <c r="G74" i="3" s="1"/>
  <c r="J42" i="3"/>
  <c r="J41" i="3" s="1"/>
  <c r="J40" i="3" s="1"/>
  <c r="J39" i="3" s="1"/>
  <c r="J38" i="3" s="1"/>
  <c r="J37" i="3" s="1"/>
  <c r="J36" i="3" s="1"/>
  <c r="J35" i="3" s="1"/>
  <c r="J34" i="3" s="1"/>
  <c r="J33" i="3" s="1"/>
  <c r="J32" i="3" s="1"/>
  <c r="J31" i="3" s="1"/>
  <c r="J30" i="3" s="1"/>
  <c r="J29" i="3" s="1"/>
  <c r="J28" i="3" s="1"/>
  <c r="J27" i="3" s="1"/>
  <c r="J26" i="3" s="1"/>
  <c r="J25" i="3" s="1"/>
  <c r="J24" i="3" s="1"/>
  <c r="J23" i="3" s="1"/>
  <c r="J22" i="3" s="1"/>
  <c r="K43" i="3"/>
  <c r="C73" i="3"/>
  <c r="L73" i="3"/>
  <c r="J81" i="3"/>
  <c r="I80" i="3"/>
  <c r="I79" i="3" s="1"/>
  <c r="I78" i="3" s="1"/>
  <c r="I77" i="3" s="1"/>
  <c r="I76" i="3" s="1"/>
  <c r="I75" i="3" s="1"/>
  <c r="I74" i="3" s="1"/>
  <c r="J58" i="3"/>
  <c r="J72" i="3" s="1"/>
  <c r="J71" i="3" s="1"/>
  <c r="J70" i="3" s="1"/>
  <c r="J69" i="3" s="1"/>
  <c r="J68" i="3" s="1"/>
  <c r="J67" i="3" s="1"/>
  <c r="J66" i="3" s="1"/>
  <c r="J65" i="3" s="1"/>
  <c r="J64" i="3" s="1"/>
  <c r="J63" i="3" s="1"/>
  <c r="J62" i="3" s="1"/>
  <c r="J61" i="3" s="1"/>
  <c r="J60" i="3" s="1"/>
  <c r="J59" i="3" s="1"/>
  <c r="I57" i="3"/>
  <c r="I56" i="3" s="1"/>
  <c r="I55" i="3" s="1"/>
  <c r="I54" i="3" s="1"/>
  <c r="I53" i="3" s="1"/>
  <c r="I52" i="3" s="1"/>
  <c r="I51" i="3" s="1"/>
  <c r="I50" i="3" s="1"/>
  <c r="I49" i="3" s="1"/>
  <c r="I48" i="3" s="1"/>
  <c r="I47" i="3" s="1"/>
  <c r="I46" i="3" s="1"/>
  <c r="I45" i="3" s="1"/>
  <c r="I44" i="3" s="1"/>
  <c r="I72" i="3"/>
  <c r="I71" i="3" s="1"/>
  <c r="I70" i="3" s="1"/>
  <c r="I69" i="3" s="1"/>
  <c r="I68" i="3" s="1"/>
  <c r="I67" i="3" s="1"/>
  <c r="I66" i="3" s="1"/>
  <c r="I65" i="3" s="1"/>
  <c r="I64" i="3" s="1"/>
  <c r="I63" i="3" s="1"/>
  <c r="I62" i="3" s="1"/>
  <c r="I61" i="3" s="1"/>
  <c r="I60" i="3" s="1"/>
  <c r="I59" i="3" s="1"/>
  <c r="B58" i="3" l="1"/>
  <c r="B57" i="3" s="1"/>
  <c r="B56" i="3" s="1"/>
  <c r="B55" i="3" s="1"/>
  <c r="B54" i="3" s="1"/>
  <c r="B53" i="3" s="1"/>
  <c r="B52" i="3" s="1"/>
  <c r="B51" i="3" s="1"/>
  <c r="B50" i="3" s="1"/>
  <c r="B49" i="3" s="1"/>
  <c r="B48" i="3" s="1"/>
  <c r="B47" i="3" s="1"/>
  <c r="B46" i="3" s="1"/>
  <c r="B45" i="3" s="1"/>
  <c r="B44" i="3" s="1"/>
  <c r="B43" i="3" s="1"/>
  <c r="B42" i="3" s="1"/>
  <c r="B41" i="3" s="1"/>
  <c r="B40" i="3" s="1"/>
  <c r="B39" i="3" s="1"/>
  <c r="B38" i="3" s="1"/>
  <c r="B37" i="3" s="1"/>
  <c r="B36" i="3" s="1"/>
  <c r="B35" i="3" s="1"/>
  <c r="B34" i="3" s="1"/>
  <c r="B33" i="3" s="1"/>
  <c r="B32" i="3" s="1"/>
  <c r="B31" i="3" s="1"/>
  <c r="B30" i="3" s="1"/>
  <c r="B29" i="3" s="1"/>
  <c r="B28" i="3" s="1"/>
  <c r="B27" i="3" s="1"/>
  <c r="B26" i="3" s="1"/>
  <c r="B25" i="3" s="1"/>
  <c r="B24" i="3" s="1"/>
  <c r="B23" i="3" s="1"/>
  <c r="B22" i="3" s="1"/>
  <c r="B21" i="3" s="1"/>
  <c r="B20" i="3" s="1"/>
  <c r="B19" i="3" s="1"/>
  <c r="B18" i="3" s="1"/>
  <c r="B17" i="3" s="1"/>
  <c r="B16" i="3" s="1"/>
  <c r="B15" i="3" s="1"/>
  <c r="B14" i="3" s="1"/>
  <c r="B13" i="3" s="1"/>
  <c r="B12" i="3" s="1"/>
  <c r="B11" i="3" s="1"/>
  <c r="B10" i="3" s="1"/>
  <c r="B9" i="3" s="1"/>
  <c r="B8" i="3" s="1"/>
  <c r="B7" i="3" s="1"/>
  <c r="D57" i="3"/>
  <c r="D56" i="3" s="1"/>
  <c r="D55" i="3" s="1"/>
  <c r="D54" i="3" s="1"/>
  <c r="D53" i="3" s="1"/>
  <c r="D52" i="3" s="1"/>
  <c r="D51" i="3" s="1"/>
  <c r="D50" i="3" s="1"/>
  <c r="D49" i="3" s="1"/>
  <c r="D48" i="3" s="1"/>
  <c r="D47" i="3" s="1"/>
  <c r="D46" i="3" s="1"/>
  <c r="D45" i="3" s="1"/>
  <c r="D44" i="3" s="1"/>
  <c r="D43" i="3" s="1"/>
  <c r="D42" i="3" s="1"/>
  <c r="D41" i="3" s="1"/>
  <c r="D40" i="3" s="1"/>
  <c r="D39" i="3" s="1"/>
  <c r="D38" i="3" s="1"/>
  <c r="D37" i="3" s="1"/>
  <c r="D36" i="3" s="1"/>
  <c r="D35" i="3" s="1"/>
  <c r="D34" i="3" s="1"/>
  <c r="D33" i="3" s="1"/>
  <c r="D32" i="3" s="1"/>
  <c r="D31" i="3" s="1"/>
  <c r="D30" i="3" s="1"/>
  <c r="D29" i="3" s="1"/>
  <c r="D28" i="3" s="1"/>
  <c r="D27" i="3" s="1"/>
  <c r="D26" i="3" s="1"/>
  <c r="D25" i="3" s="1"/>
  <c r="D24" i="3" s="1"/>
  <c r="D23" i="3" s="1"/>
  <c r="D22" i="3" s="1"/>
  <c r="D21" i="3" s="1"/>
  <c r="D20" i="3" s="1"/>
  <c r="D19" i="3" s="1"/>
  <c r="D18" i="3" s="1"/>
  <c r="D17" i="3" s="1"/>
  <c r="D16" i="3" s="1"/>
  <c r="D15" i="3" s="1"/>
  <c r="D14" i="3" s="1"/>
  <c r="D13" i="3" s="1"/>
  <c r="D12" i="3" s="1"/>
  <c r="D11" i="3" s="1"/>
  <c r="D10" i="3" s="1"/>
  <c r="D9" i="3" s="1"/>
  <c r="D8" i="3" s="1"/>
  <c r="D7" i="3" s="1"/>
  <c r="D72" i="3"/>
  <c r="D71" i="3" s="1"/>
  <c r="D70" i="3" s="1"/>
  <c r="D69" i="3" s="1"/>
  <c r="D68" i="3" s="1"/>
  <c r="D67" i="3" s="1"/>
  <c r="D66" i="3" s="1"/>
  <c r="D65" i="3" s="1"/>
  <c r="D64" i="3" s="1"/>
  <c r="D63" i="3" s="1"/>
  <c r="D62" i="3" s="1"/>
  <c r="D61" i="3" s="1"/>
  <c r="D60" i="3" s="1"/>
  <c r="D59" i="3" s="1"/>
  <c r="J21" i="3"/>
  <c r="J20" i="3" s="1"/>
  <c r="J19" i="3" s="1"/>
  <c r="J18" i="3" s="1"/>
  <c r="J17" i="3" s="1"/>
  <c r="J16" i="3" s="1"/>
  <c r="J15" i="3" s="1"/>
  <c r="J14" i="3" s="1"/>
  <c r="J13" i="3" s="1"/>
  <c r="J12" i="3" s="1"/>
  <c r="J11" i="3" s="1"/>
  <c r="J10" i="3" s="1"/>
  <c r="J9" i="3" s="1"/>
  <c r="J8" i="3" s="1"/>
  <c r="J7" i="3" s="1"/>
  <c r="J80" i="3"/>
  <c r="J79" i="3" s="1"/>
  <c r="J78" i="3" s="1"/>
  <c r="J77" i="3" s="1"/>
  <c r="J76" i="3" s="1"/>
  <c r="J75" i="3" s="1"/>
  <c r="J74" i="3" s="1"/>
  <c r="K81" i="3"/>
  <c r="M73" i="3"/>
  <c r="L43" i="3"/>
  <c r="K42" i="3"/>
  <c r="K41" i="3" s="1"/>
  <c r="K40" i="3" s="1"/>
  <c r="K39" i="3" s="1"/>
  <c r="K38" i="3" s="1"/>
  <c r="K37" i="3" s="1"/>
  <c r="K36" i="3" s="1"/>
  <c r="K35" i="3" s="1"/>
  <c r="K34" i="3" s="1"/>
  <c r="K33" i="3" s="1"/>
  <c r="K32" i="3" s="1"/>
  <c r="K31" i="3" s="1"/>
  <c r="K30" i="3" s="1"/>
  <c r="K29" i="3" s="1"/>
  <c r="K28" i="3" s="1"/>
  <c r="K27" i="3" s="1"/>
  <c r="K26" i="3" s="1"/>
  <c r="K25" i="3" s="1"/>
  <c r="K24" i="3" s="1"/>
  <c r="K23" i="3" s="1"/>
  <c r="K22" i="3" s="1"/>
  <c r="K21" i="3" s="1"/>
  <c r="K20" i="3" s="1"/>
  <c r="K19" i="3" s="1"/>
  <c r="K18" i="3" s="1"/>
  <c r="K17" i="3" s="1"/>
  <c r="K16" i="3" s="1"/>
  <c r="K15" i="3" s="1"/>
  <c r="K14" i="3" s="1"/>
  <c r="K13" i="3" s="1"/>
  <c r="K12" i="3" s="1"/>
  <c r="K11" i="3" s="1"/>
  <c r="K10" i="3" s="1"/>
  <c r="K9" i="3" s="1"/>
  <c r="K8" i="3" s="1"/>
  <c r="K7" i="3" s="1"/>
  <c r="J57" i="3"/>
  <c r="J56" i="3" s="1"/>
  <c r="J55" i="3" s="1"/>
  <c r="J54" i="3" s="1"/>
  <c r="J53" i="3" s="1"/>
  <c r="J52" i="3" s="1"/>
  <c r="J51" i="3" s="1"/>
  <c r="J50" i="3" s="1"/>
  <c r="J49" i="3" s="1"/>
  <c r="J48" i="3" s="1"/>
  <c r="J47" i="3" s="1"/>
  <c r="J46" i="3" s="1"/>
  <c r="J45" i="3" s="1"/>
  <c r="J44" i="3" s="1"/>
  <c r="K58" i="3"/>
  <c r="C80" i="3"/>
  <c r="C79" i="3" s="1"/>
  <c r="C78" i="3" s="1"/>
  <c r="C77" i="3" s="1"/>
  <c r="C76" i="3" s="1"/>
  <c r="C75" i="3" s="1"/>
  <c r="C74" i="3" s="1"/>
  <c r="B73" i="3"/>
  <c r="C72" i="3"/>
  <c r="C71" i="3" s="1"/>
  <c r="C70" i="3" s="1"/>
  <c r="C69" i="3" s="1"/>
  <c r="C68" i="3" s="1"/>
  <c r="C67" i="3" s="1"/>
  <c r="C66" i="3" s="1"/>
  <c r="C65" i="3" s="1"/>
  <c r="C64" i="3" s="1"/>
  <c r="C63" i="3" s="1"/>
  <c r="C62" i="3" s="1"/>
  <c r="C61" i="3" s="1"/>
  <c r="C60" i="3" s="1"/>
  <c r="C59" i="3" s="1"/>
  <c r="L42" i="3" l="1"/>
  <c r="L41" i="3" s="1"/>
  <c r="L40" i="3" s="1"/>
  <c r="L39" i="3" s="1"/>
  <c r="L38" i="3" s="1"/>
  <c r="L37" i="3" s="1"/>
  <c r="L36" i="3" s="1"/>
  <c r="L35" i="3" s="1"/>
  <c r="L34" i="3" s="1"/>
  <c r="L33" i="3" s="1"/>
  <c r="L32" i="3" s="1"/>
  <c r="L31" i="3" s="1"/>
  <c r="L30" i="3" s="1"/>
  <c r="L29" i="3" s="1"/>
  <c r="L28" i="3" s="1"/>
  <c r="L27" i="3" s="1"/>
  <c r="L26" i="3" s="1"/>
  <c r="L25" i="3" s="1"/>
  <c r="L24" i="3" s="1"/>
  <c r="L23" i="3" s="1"/>
  <c r="L22" i="3" s="1"/>
  <c r="L21" i="3" s="1"/>
  <c r="L20" i="3" s="1"/>
  <c r="L19" i="3" s="1"/>
  <c r="L18" i="3" s="1"/>
  <c r="L17" i="3" s="1"/>
  <c r="L16" i="3" s="1"/>
  <c r="L15" i="3" s="1"/>
  <c r="L14" i="3" s="1"/>
  <c r="L13" i="3" s="1"/>
  <c r="L12" i="3" s="1"/>
  <c r="L11" i="3" s="1"/>
  <c r="L10" i="3" s="1"/>
  <c r="L9" i="3" s="1"/>
  <c r="L8" i="3" s="1"/>
  <c r="L7" i="3" s="1"/>
  <c r="M43" i="3"/>
  <c r="M42" i="3" s="1"/>
  <c r="M41" i="3" s="1"/>
  <c r="M40" i="3" s="1"/>
  <c r="M39" i="3" s="1"/>
  <c r="M38" i="3" s="1"/>
  <c r="M37" i="3" s="1"/>
  <c r="M36" i="3" s="1"/>
  <c r="M35" i="3" s="1"/>
  <c r="M34" i="3" s="1"/>
  <c r="M33" i="3" s="1"/>
  <c r="M32" i="3" s="1"/>
  <c r="M31" i="3" s="1"/>
  <c r="M30" i="3" s="1"/>
  <c r="M29" i="3" s="1"/>
  <c r="M28" i="3" s="1"/>
  <c r="M27" i="3" s="1"/>
  <c r="M26" i="3" s="1"/>
  <c r="M25" i="3" s="1"/>
  <c r="M24" i="3" s="1"/>
  <c r="M23" i="3" s="1"/>
  <c r="M22" i="3" s="1"/>
  <c r="M21" i="3" s="1"/>
  <c r="M20" i="3" s="1"/>
  <c r="M19" i="3" s="1"/>
  <c r="M18" i="3" s="1"/>
  <c r="M17" i="3" s="1"/>
  <c r="M16" i="3" s="1"/>
  <c r="M15" i="3" s="1"/>
  <c r="M14" i="3" s="1"/>
  <c r="M13" i="3" s="1"/>
  <c r="M12" i="3" s="1"/>
  <c r="M11" i="3" s="1"/>
  <c r="M10" i="3" s="1"/>
  <c r="M9" i="3" s="1"/>
  <c r="M8" i="3" s="1"/>
  <c r="M7" i="3" s="1"/>
  <c r="B72" i="3"/>
  <c r="B71" i="3" s="1"/>
  <c r="B70" i="3" s="1"/>
  <c r="B69" i="3" s="1"/>
  <c r="B68" i="3" s="1"/>
  <c r="B67" i="3" s="1"/>
  <c r="B66" i="3" s="1"/>
  <c r="B65" i="3" s="1"/>
  <c r="B64" i="3" s="1"/>
  <c r="B63" i="3" s="1"/>
  <c r="B62" i="3" s="1"/>
  <c r="B61" i="3" s="1"/>
  <c r="B60" i="3" s="1"/>
  <c r="B59" i="3" s="1"/>
  <c r="B80" i="3"/>
  <c r="B79" i="3" s="1"/>
  <c r="B78" i="3" s="1"/>
  <c r="B77" i="3" s="1"/>
  <c r="B76" i="3" s="1"/>
  <c r="B75" i="3" s="1"/>
  <c r="B74" i="3" s="1"/>
  <c r="L81" i="3"/>
  <c r="K80" i="3"/>
  <c r="K79" i="3" s="1"/>
  <c r="K78" i="3" s="1"/>
  <c r="K77" i="3" s="1"/>
  <c r="K76" i="3" s="1"/>
  <c r="K75" i="3" s="1"/>
  <c r="K74" i="3" s="1"/>
  <c r="K57" i="3"/>
  <c r="K56" i="3" s="1"/>
  <c r="K55" i="3" s="1"/>
  <c r="K54" i="3" s="1"/>
  <c r="K53" i="3" s="1"/>
  <c r="K52" i="3" s="1"/>
  <c r="K51" i="3" s="1"/>
  <c r="K50" i="3" s="1"/>
  <c r="K49" i="3" s="1"/>
  <c r="K48" i="3" s="1"/>
  <c r="K47" i="3" s="1"/>
  <c r="K46" i="3" s="1"/>
  <c r="K45" i="3" s="1"/>
  <c r="K44" i="3" s="1"/>
  <c r="L58" i="3"/>
  <c r="K72" i="3"/>
  <c r="K71" i="3" s="1"/>
  <c r="K70" i="3" s="1"/>
  <c r="K69" i="3" s="1"/>
  <c r="K68" i="3" s="1"/>
  <c r="K67" i="3" s="1"/>
  <c r="K66" i="3" s="1"/>
  <c r="K65" i="3" s="1"/>
  <c r="K64" i="3" s="1"/>
  <c r="K63" i="3" s="1"/>
  <c r="K62" i="3" s="1"/>
  <c r="K61" i="3" s="1"/>
  <c r="K60" i="3" s="1"/>
  <c r="K59" i="3" s="1"/>
  <c r="M81" i="3" l="1"/>
  <c r="M80" i="3" s="1"/>
  <c r="M79" i="3" s="1"/>
  <c r="M78" i="3" s="1"/>
  <c r="M77" i="3" s="1"/>
  <c r="M76" i="3" s="1"/>
  <c r="M75" i="3" s="1"/>
  <c r="M74" i="3" s="1"/>
  <c r="L80" i="3"/>
  <c r="L79" i="3" s="1"/>
  <c r="L78" i="3" s="1"/>
  <c r="L77" i="3" s="1"/>
  <c r="L76" i="3" s="1"/>
  <c r="L75" i="3" s="1"/>
  <c r="L74" i="3" s="1"/>
  <c r="L57" i="3"/>
  <c r="L56" i="3" s="1"/>
  <c r="L55" i="3" s="1"/>
  <c r="L54" i="3" s="1"/>
  <c r="L53" i="3" s="1"/>
  <c r="L52" i="3" s="1"/>
  <c r="L51" i="3" s="1"/>
  <c r="L50" i="3" s="1"/>
  <c r="L49" i="3" s="1"/>
  <c r="L48" i="3" s="1"/>
  <c r="L47" i="3" s="1"/>
  <c r="L46" i="3" s="1"/>
  <c r="L45" i="3" s="1"/>
  <c r="L44" i="3" s="1"/>
  <c r="M58" i="3"/>
  <c r="L72" i="3"/>
  <c r="L71" i="3" s="1"/>
  <c r="L70" i="3" s="1"/>
  <c r="L69" i="3" s="1"/>
  <c r="L68" i="3" s="1"/>
  <c r="L67" i="3" s="1"/>
  <c r="L66" i="3" s="1"/>
  <c r="L65" i="3" s="1"/>
  <c r="L64" i="3" s="1"/>
  <c r="L63" i="3" s="1"/>
  <c r="L62" i="3" s="1"/>
  <c r="L61" i="3" s="1"/>
  <c r="L60" i="3" s="1"/>
  <c r="L59" i="3" s="1"/>
  <c r="M57" i="3" l="1"/>
  <c r="M56" i="3" s="1"/>
  <c r="M55" i="3" s="1"/>
  <c r="M54" i="3" s="1"/>
  <c r="M53" i="3" s="1"/>
  <c r="M52" i="3" s="1"/>
  <c r="M51" i="3" s="1"/>
  <c r="M50" i="3" s="1"/>
  <c r="M49" i="3" s="1"/>
  <c r="M48" i="3" s="1"/>
  <c r="M47" i="3" s="1"/>
  <c r="M46" i="3" s="1"/>
  <c r="M45" i="3" s="1"/>
  <c r="M44" i="3" s="1"/>
  <c r="M72" i="3"/>
  <c r="M71" i="3" s="1"/>
  <c r="M70" i="3" s="1"/>
  <c r="M69" i="3" s="1"/>
  <c r="M68" i="3" s="1"/>
  <c r="M67" i="3" s="1"/>
  <c r="M66" i="3" s="1"/>
  <c r="M65" i="3" s="1"/>
  <c r="M64" i="3" s="1"/>
  <c r="M63" i="3" s="1"/>
  <c r="M62" i="3" s="1"/>
  <c r="M61" i="3" s="1"/>
  <c r="M60" i="3" s="1"/>
  <c r="M59" i="3" s="1"/>
  <c r="C40" i="18" l="1"/>
  <c r="E52" i="17" s="1"/>
  <c r="C46" i="17" l="1"/>
  <c r="F73" i="22" l="1"/>
  <c r="F74" i="22"/>
  <c r="B69" i="18"/>
  <c r="B71" i="18" s="1"/>
  <c r="C57" i="22" s="1"/>
  <c r="C11" i="18"/>
  <c r="C14" i="18" s="1"/>
  <c r="C9" i="22" l="1"/>
  <c r="C16" i="18"/>
  <c r="C8" i="22" s="1"/>
  <c r="D3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author>
  </authors>
  <commentList>
    <comment ref="B20" authorId="0" shapeId="0" xr:uid="{00000000-0006-0000-0000-000001000000}">
      <text>
        <r>
          <rPr>
            <sz val="9"/>
            <color indexed="81"/>
            <rFont val="Calibri"/>
            <family val="2"/>
          </rPr>
          <t>Kontrolliere die Daten von Malz und Hopfen mit denen
deines Lieferanten und korrigiere die Angaben im Arbeitsblatt.
Angaben in den Tabellen können beliebig gelöscht
und durch andere Malze, Hopfen oder Hefe ersetzt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Hans</author>
  </authors>
  <commentList>
    <comment ref="E18" authorId="0" shapeId="0" xr:uid="{00000000-0006-0000-0100-000001000000}">
      <text>
        <r>
          <rPr>
            <b/>
            <sz val="9"/>
            <color indexed="81"/>
            <rFont val="Tahoma"/>
            <family val="2"/>
          </rPr>
          <t xml:space="preserve">Eigebier:
</t>
        </r>
        <r>
          <rPr>
            <sz val="9"/>
            <color indexed="81"/>
            <rFont val="Tahoma"/>
            <family val="2"/>
          </rPr>
          <t xml:space="preserve">Erfahrungswerte eintragen
</t>
        </r>
      </text>
    </comment>
    <comment ref="E19" authorId="0" shapeId="0" xr:uid="{00000000-0006-0000-0100-000002000000}">
      <text>
        <r>
          <rPr>
            <sz val="9"/>
            <color indexed="81"/>
            <rFont val="Tahoma"/>
            <family val="2"/>
          </rPr>
          <t>Erfahrungswerte eintragen</t>
        </r>
      </text>
    </comment>
    <comment ref="E21" authorId="0" shapeId="0" xr:uid="{00000000-0006-0000-0100-000003000000}">
      <text>
        <r>
          <rPr>
            <b/>
            <sz val="9"/>
            <color indexed="81"/>
            <rFont val="Tahoma"/>
            <family val="2"/>
          </rPr>
          <t>Erfahrungswert</t>
        </r>
        <r>
          <rPr>
            <sz val="9"/>
            <color indexed="81"/>
            <rFont val="Tahoma"/>
            <family val="2"/>
          </rPr>
          <t xml:space="preserve">
ca. 70-75%</t>
        </r>
      </text>
    </comment>
    <comment ref="B42" authorId="0" shapeId="0" xr:uid="{00000000-0006-0000-0100-000004000000}">
      <text>
        <r>
          <rPr>
            <sz val="9"/>
            <color indexed="81"/>
            <rFont val="Calibri"/>
            <family val="2"/>
          </rPr>
          <t xml:space="preserve">Zugabe bei erster Rast: dunkler, mehr Röstaromen (Stouts)
Zugabe bei letzter Rast, milder (Schwarzbier)
</t>
        </r>
      </text>
    </comment>
    <comment ref="D73" authorId="0" shapeId="0" xr:uid="{00000000-0006-0000-0100-000005000000}">
      <text>
        <r>
          <rPr>
            <sz val="9"/>
            <color indexed="81"/>
            <rFont val="Calibri"/>
            <family val="2"/>
          </rPr>
          <t>Zeit bis etwa 85 Grad C erreicht sind. Rest vernachlässigbar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Hans Utz</author>
    <author>Hans</author>
  </authors>
  <commentList>
    <comment ref="H16" authorId="0" shapeId="0" xr:uid="{00000000-0006-0000-0200-000001000000}">
      <text>
        <r>
          <rPr>
            <sz val="8"/>
            <color indexed="81"/>
            <rFont val="Calibri"/>
            <family val="2"/>
          </rPr>
          <t xml:space="preserve">Zugabe bei erster Rast: dunkler, mehr Röstaromen (Stouts)
Zugabe bei letzter Rast, milder (Schwarzbier)
</t>
        </r>
      </text>
    </comment>
    <comment ref="B21" authorId="1" shapeId="0" xr:uid="{00000000-0006-0000-0200-000002000000}">
      <text>
        <r>
          <rPr>
            <sz val="9"/>
            <color indexed="81"/>
            <rFont val="Calibri"/>
            <family val="2"/>
          </rPr>
          <t>Evtl. andere Temperaturen bei Weizenbieren</t>
        </r>
      </text>
    </comment>
    <comment ref="B23" authorId="1" shapeId="0" xr:uid="{00000000-0006-0000-0200-000003000000}">
      <text>
        <r>
          <rPr>
            <sz val="9"/>
            <color indexed="81"/>
            <rFont val="Calibri"/>
            <family val="2"/>
          </rPr>
          <t>35-40°C Gummirast nicht unbedingt notwendig</t>
        </r>
      </text>
    </comment>
    <comment ref="B24" authorId="1" shapeId="0" xr:uid="{00000000-0006-0000-0200-000004000000}">
      <text>
        <r>
          <rPr>
            <sz val="9"/>
            <color indexed="81"/>
            <rFont val="Calibri"/>
            <family val="2"/>
          </rPr>
          <t>50-58°C, typisch bei 52°C</t>
        </r>
      </text>
    </comment>
    <comment ref="B25" authorId="1" shapeId="0" xr:uid="{00000000-0006-0000-0200-000005000000}">
      <text>
        <r>
          <rPr>
            <sz val="9"/>
            <color indexed="81"/>
            <rFont val="Calibri"/>
            <family val="2"/>
          </rPr>
          <t>60-68°C, typisch bei 63 °C</t>
        </r>
      </text>
    </comment>
    <comment ref="B27" authorId="1" shapeId="0" xr:uid="{00000000-0006-0000-0200-000006000000}">
      <text>
        <r>
          <rPr>
            <sz val="9"/>
            <color indexed="81"/>
            <rFont val="Calibri"/>
            <family val="2"/>
          </rPr>
          <t>68-76°C, typisch bei 72 °C</t>
        </r>
      </text>
    </comment>
    <comment ref="B28" authorId="1" shapeId="0" xr:uid="{00000000-0006-0000-0200-000007000000}">
      <text>
        <r>
          <rPr>
            <sz val="9"/>
            <color indexed="81"/>
            <rFont val="Calibri"/>
            <family val="2"/>
          </rPr>
          <t>77-79°C, Stabilisierung der Zuckerarten</t>
        </r>
      </text>
    </comment>
    <comment ref="B33" authorId="1" shapeId="0" xr:uid="{00000000-0006-0000-0200-000008000000}">
      <text>
        <r>
          <rPr>
            <sz val="9"/>
            <color indexed="81"/>
            <rFont val="Calibri"/>
            <family val="2"/>
          </rPr>
          <t>Würzetemperatur bei möglichst 78 °C halten</t>
        </r>
      </text>
    </comment>
    <comment ref="D54" authorId="1" shapeId="0" xr:uid="{00000000-0006-0000-0200-000009000000}">
      <text>
        <r>
          <rPr>
            <sz val="9"/>
            <color indexed="81"/>
            <rFont val="Calibri"/>
            <family val="2"/>
          </rPr>
          <t>Je grösser die Pfanne, desto länger warten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Hans</author>
  </authors>
  <commentList>
    <comment ref="E5" authorId="0" shapeId="0" xr:uid="{00000000-0006-0000-0400-000001000000}">
      <text>
        <r>
          <rPr>
            <b/>
            <sz val="9"/>
            <color indexed="81"/>
            <rFont val="Tahoma"/>
            <family val="2"/>
          </rPr>
          <t>Gemäss Lieferantanangaben anpassen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Christian Bürgisser</author>
  </authors>
  <commentList>
    <comment ref="B6" authorId="0" shapeId="0" xr:uid="{00000000-0006-0000-0500-000001000000}">
      <text>
        <r>
          <rPr>
            <b/>
            <sz val="8"/>
            <color indexed="81"/>
            <rFont val="Tahoma"/>
            <family val="2"/>
          </rPr>
          <t>Werte gemäss Lieferantenangaben anpassen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Christian Bürgisser</author>
    <author>Hans</author>
  </authors>
  <commentList>
    <comment ref="D9" authorId="0" shapeId="0" xr:uid="{00000000-0006-0000-0A00-000001000000}">
      <text>
        <r>
          <rPr>
            <b/>
            <sz val="8"/>
            <color indexed="81"/>
            <rFont val="Tahoma"/>
            <family val="2"/>
          </rPr>
          <t>Erfahrungswert:
(10 … 12%, je nach Kochdauer )</t>
        </r>
      </text>
    </comment>
    <comment ref="D11" authorId="1" shapeId="0" xr:uid="{00000000-0006-0000-0A00-000002000000}">
      <text>
        <r>
          <rPr>
            <b/>
            <sz val="9"/>
            <color indexed="81"/>
            <rFont val="Tahoma"/>
            <family val="2"/>
          </rPr>
          <t>Erfahrungswert</t>
        </r>
      </text>
    </comment>
    <comment ref="C12" authorId="1" shapeId="0" xr:uid="{00000000-0006-0000-0A00-000003000000}">
      <text>
        <r>
          <rPr>
            <b/>
            <sz val="10"/>
            <color indexed="81"/>
            <rFont val="Calibri"/>
            <family val="2"/>
          </rPr>
          <t>Erfahrungswert</t>
        </r>
      </text>
    </comment>
    <comment ref="C13" authorId="1" shapeId="0" xr:uid="{00000000-0006-0000-0A00-000004000000}">
      <text>
        <r>
          <rPr>
            <b/>
            <sz val="10"/>
            <color indexed="81"/>
            <rFont val="Calibri"/>
            <family val="2"/>
          </rPr>
          <t>Erfahrungswert</t>
        </r>
      </text>
    </comment>
    <comment ref="D15" authorId="1" shapeId="0" xr:uid="{00000000-0006-0000-0A00-000005000000}">
      <text>
        <r>
          <rPr>
            <sz val="9"/>
            <color indexed="81"/>
            <rFont val="Calibri"/>
            <family val="2"/>
          </rPr>
          <t>Helle Biere: 3-5l
Dunkle Biere: 2.5-3.5l</t>
        </r>
      </text>
    </comment>
  </commentList>
</comments>
</file>

<file path=xl/sharedStrings.xml><?xml version="1.0" encoding="utf-8"?>
<sst xmlns="http://schemas.openxmlformats.org/spreadsheetml/2006/main" count="2957" uniqueCount="2053">
  <si>
    <t>Malz</t>
  </si>
  <si>
    <t>Sorten</t>
  </si>
  <si>
    <t>Pilsner Malz</t>
  </si>
  <si>
    <t>Münchner Malz</t>
  </si>
  <si>
    <t>Würze</t>
  </si>
  <si>
    <t>[%]</t>
  </si>
  <si>
    <t>[g]</t>
  </si>
  <si>
    <t>Wiener Malz</t>
  </si>
  <si>
    <t>80 - 83</t>
  </si>
  <si>
    <t>79.5 - 81.5</t>
  </si>
  <si>
    <t>79.5 - 81</t>
  </si>
  <si>
    <t>76 - 78</t>
  </si>
  <si>
    <t>80 -84</t>
  </si>
  <si>
    <t>Hopfen</t>
  </si>
  <si>
    <t>%</t>
  </si>
  <si>
    <t>Zellver-
knüpfung</t>
  </si>
  <si>
    <t>g</t>
  </si>
  <si>
    <t>=</t>
  </si>
  <si>
    <t>Extrakt pro
kg Malz</t>
  </si>
  <si>
    <t>[-]</t>
  </si>
  <si>
    <t>Anteil</t>
  </si>
  <si>
    <t>Farbe
EBC</t>
  </si>
  <si>
    <t>Name</t>
  </si>
  <si>
    <t>Stout</t>
  </si>
  <si>
    <t>Pilsner</t>
  </si>
  <si>
    <t>Porter</t>
  </si>
  <si>
    <t>25 - 40</t>
  </si>
  <si>
    <t>20 - 40</t>
  </si>
  <si>
    <t>Doppelbock</t>
  </si>
  <si>
    <t>25 - 35</t>
  </si>
  <si>
    <t>CH Lagerbier</t>
  </si>
  <si>
    <t>15 - 25</t>
  </si>
  <si>
    <t>20 - 25</t>
  </si>
  <si>
    <t>Extrakt-
gehalt</t>
  </si>
  <si>
    <t>Dinkelmalz</t>
  </si>
  <si>
    <t>Rauchmalz</t>
  </si>
  <si>
    <t>Weizenmalz dunkel</t>
  </si>
  <si>
    <t>Sauermalz</t>
  </si>
  <si>
    <t>Weizenmalz hell</t>
  </si>
  <si>
    <t>3-5</t>
  </si>
  <si>
    <t>12-17</t>
  </si>
  <si>
    <t>7-9</t>
  </si>
  <si>
    <t>20-30</t>
  </si>
  <si>
    <t>Premium Pilsner Malz</t>
  </si>
  <si>
    <t>2-3</t>
  </si>
  <si>
    <t>[g/l]</t>
  </si>
  <si>
    <t>spez.
Gewicht
(SG*)</t>
  </si>
  <si>
    <t>*SG (Specific Gravity)</t>
  </si>
  <si>
    <t>Herkunft</t>
  </si>
  <si>
    <t>GB</t>
  </si>
  <si>
    <t>D</t>
  </si>
  <si>
    <t>USA</t>
  </si>
  <si>
    <t>NZ</t>
  </si>
  <si>
    <t>Verwendung</t>
  </si>
  <si>
    <t>Koch-
dauer
[min]</t>
  </si>
  <si>
    <t>Extraktgehalt der Würze</t>
  </si>
  <si>
    <t>Hopfenausnutzung [%]</t>
  </si>
  <si>
    <t>ober-
gärig</t>
  </si>
  <si>
    <t>unter-
gärig</t>
  </si>
  <si>
    <t>x</t>
  </si>
  <si>
    <t>Kölsch</t>
  </si>
  <si>
    <t>30 - 45</t>
  </si>
  <si>
    <t>8-12</t>
  </si>
  <si>
    <t>Münchner Lagerbier</t>
  </si>
  <si>
    <t>** European Brewing Convention</t>
  </si>
  <si>
    <t>Weizencaramelmalz</t>
  </si>
  <si>
    <t>Biertyp:</t>
  </si>
  <si>
    <t>Total</t>
  </si>
  <si>
    <t>°C</t>
  </si>
  <si>
    <t>EBU</t>
  </si>
  <si>
    <t>Eiweissrast</t>
  </si>
  <si>
    <t>Maltoserast</t>
  </si>
  <si>
    <t>Reserve</t>
  </si>
  <si>
    <t>10 - 12</t>
  </si>
  <si>
    <t>5 - 7</t>
  </si>
  <si>
    <t>Menge</t>
  </si>
  <si>
    <t>Gärtemperatur</t>
  </si>
  <si>
    <t>-</t>
  </si>
  <si>
    <t>CH</t>
  </si>
  <si>
    <t>1. Verzuckerungsrast</t>
  </si>
  <si>
    <t>2. Verzuckerungsrast</t>
  </si>
  <si>
    <t>Wasseraufbereitung</t>
  </si>
  <si>
    <t>EBC</t>
  </si>
  <si>
    <t>Gabe</t>
  </si>
  <si>
    <t>Obergärig</t>
  </si>
  <si>
    <t>Typ</t>
  </si>
  <si>
    <t>Läutern</t>
  </si>
  <si>
    <t>Münchner Malz Typ 2</t>
  </si>
  <si>
    <t>l</t>
  </si>
  <si>
    <t>Dry Stout</t>
  </si>
  <si>
    <t>American Stout</t>
  </si>
  <si>
    <t>Belgisches Dubbel</t>
  </si>
  <si>
    <t>Belgisches Trippel</t>
  </si>
  <si>
    <t>6.3 - 7.6</t>
  </si>
  <si>
    <t>4 - 5</t>
  </si>
  <si>
    <t>7.5 - 9.5</t>
  </si>
  <si>
    <t>Stamm-
würze
°P</t>
  </si>
  <si>
    <t>8 - 15</t>
  </si>
  <si>
    <t>4.2 - 5.4</t>
  </si>
  <si>
    <t>35 - 45</t>
  </si>
  <si>
    <t>(Budweiser)</t>
  </si>
  <si>
    <t>35 - 75</t>
  </si>
  <si>
    <t>Brown Porter</t>
  </si>
  <si>
    <t>(London)</t>
  </si>
  <si>
    <t>18 - 35</t>
  </si>
  <si>
    <t>4 - 5.4</t>
  </si>
  <si>
    <t>Robust Porter</t>
  </si>
  <si>
    <t>(USA)</t>
  </si>
  <si>
    <t>25 - 50</t>
  </si>
  <si>
    <t>4.8 - 6.5</t>
  </si>
  <si>
    <t>8 - 10</t>
  </si>
  <si>
    <t>3.2 - 3.8</t>
  </si>
  <si>
    <t>4.5 - 5.2</t>
  </si>
  <si>
    <t>Bockbier</t>
  </si>
  <si>
    <t>Maibock</t>
  </si>
  <si>
    <t>23 - 35</t>
  </si>
  <si>
    <t>15 - 28</t>
  </si>
  <si>
    <t>6.3 - 7.4</t>
  </si>
  <si>
    <t>16 - 26</t>
  </si>
  <si>
    <t>18 - 28</t>
  </si>
  <si>
    <t>7 - 10</t>
  </si>
  <si>
    <t>Dortmunder Export</t>
  </si>
  <si>
    <t>4.8 - 6</t>
  </si>
  <si>
    <t>18 - 22</t>
  </si>
  <si>
    <t>4.2 - 5.3</t>
  </si>
  <si>
    <t>Münchner Dunkel</t>
  </si>
  <si>
    <t>Schwarzbier</t>
  </si>
  <si>
    <t>4.5 - 5.6</t>
  </si>
  <si>
    <t>22 - 32</t>
  </si>
  <si>
    <t>4.4 - 5.4</t>
  </si>
  <si>
    <t>20 - 30</t>
  </si>
  <si>
    <t>4.4 - 5.2</t>
  </si>
  <si>
    <t>(Schottisch)</t>
  </si>
  <si>
    <t>3.2 - 3.9</t>
  </si>
  <si>
    <t>(Irisch)</t>
  </si>
  <si>
    <t>17 - 28</t>
  </si>
  <si>
    <t>4 - 6</t>
  </si>
  <si>
    <t>10 - 25</t>
  </si>
  <si>
    <t>Strong Scotch Ale</t>
  </si>
  <si>
    <t>Irish Red Ale</t>
  </si>
  <si>
    <t>American Amber</t>
  </si>
  <si>
    <t>4.5 - 6.2</t>
  </si>
  <si>
    <t>Scottish Export 80/-</t>
  </si>
  <si>
    <t>3.9 - 5</t>
  </si>
  <si>
    <t>4.3 - 5.6</t>
  </si>
  <si>
    <t>Dunkles Weizen</t>
  </si>
  <si>
    <t>10 - 18</t>
  </si>
  <si>
    <t>°P</t>
  </si>
  <si>
    <t>% vol.</t>
  </si>
  <si>
    <t>Maris Otter</t>
  </si>
  <si>
    <t>Pilsner Malz CH</t>
  </si>
  <si>
    <t>4.5-5.5</t>
  </si>
  <si>
    <t>Pale Ale Malz</t>
  </si>
  <si>
    <t>5.5-7.5</t>
  </si>
  <si>
    <t>20-25</t>
  </si>
  <si>
    <t>Cara hell</t>
  </si>
  <si>
    <t>60-80</t>
  </si>
  <si>
    <t>Caraaroma</t>
  </si>
  <si>
    <t>Carabelge</t>
  </si>
  <si>
    <t>Caramünch II</t>
  </si>
  <si>
    <t>Caramünch III</t>
  </si>
  <si>
    <t>Carapils</t>
  </si>
  <si>
    <t>Carared</t>
  </si>
  <si>
    <t>Caraamber</t>
  </si>
  <si>
    <t>Weizendiastasemalz</t>
  </si>
  <si>
    <t>Weizenröstmalz</t>
  </si>
  <si>
    <t>Carafa Typ 1</t>
  </si>
  <si>
    <t>Carafa Typ 2</t>
  </si>
  <si>
    <t>Carafa Typ 3</t>
  </si>
  <si>
    <t>Roggenröstmalz</t>
  </si>
  <si>
    <t>Röstgerste</t>
  </si>
  <si>
    <t>Abbey Malz</t>
  </si>
  <si>
    <t>Eichenrauch Weizenmalz</t>
  </si>
  <si>
    <t>Melanoidinmalz</t>
  </si>
  <si>
    <t>Spezial W</t>
  </si>
  <si>
    <t>Spitzmalz</t>
  </si>
  <si>
    <t>Whiskymalz</t>
  </si>
  <si>
    <t>80-83</t>
  </si>
  <si>
    <t>350-450</t>
  </si>
  <si>
    <t>Carabohemian</t>
  </si>
  <si>
    <t>AUS</t>
  </si>
  <si>
    <t>Umleeren in Läuterbottich</t>
  </si>
  <si>
    <t>Schüttung</t>
  </si>
  <si>
    <t>Keine Wahl</t>
  </si>
  <si>
    <t>SRM</t>
  </si>
  <si>
    <t>R</t>
  </si>
  <si>
    <t>G</t>
  </si>
  <si>
    <t>B</t>
  </si>
  <si>
    <t>Rechen-
wert
[%]</t>
  </si>
  <si>
    <t>Malzübersicht</t>
  </si>
  <si>
    <t>Brauzusätze</t>
  </si>
  <si>
    <t>Abfüllen</t>
  </si>
  <si>
    <t>Bierfarben nach SRM - EBC umgerechnet in RGB Farben</t>
  </si>
  <si>
    <t>Stammwürze</t>
  </si>
  <si>
    <t>Alkoholgehalt</t>
  </si>
  <si>
    <t>Sudhausausbeute</t>
  </si>
  <si>
    <t>Einmaischen/Gummirast</t>
  </si>
  <si>
    <t>Irish Moss</t>
  </si>
  <si>
    <t>Standard American</t>
  </si>
  <si>
    <t>Amerikanisches Pilsner</t>
  </si>
  <si>
    <t>10 - 12.5</t>
  </si>
  <si>
    <t>1 - 2.5</t>
  </si>
  <si>
    <t>4.5 - 6</t>
  </si>
  <si>
    <t>Traditioneller Bock</t>
  </si>
  <si>
    <t>20 - 27</t>
  </si>
  <si>
    <t>28 - 43</t>
  </si>
  <si>
    <t>6.3 - 7.2</t>
  </si>
  <si>
    <t>Hybrid hell</t>
  </si>
  <si>
    <t>Blonde Ale</t>
  </si>
  <si>
    <t>Amerikan.- Weizen + Roggen</t>
  </si>
  <si>
    <t>3.8 - 5.5</t>
  </si>
  <si>
    <t>15 - 30</t>
  </si>
  <si>
    <t>4 - 5.5</t>
  </si>
  <si>
    <t>Norddeutsches Alt</t>
  </si>
  <si>
    <t>California Common</t>
  </si>
  <si>
    <t>4.5 - 5.5</t>
  </si>
  <si>
    <t>Helles Ale</t>
  </si>
  <si>
    <t>English Pale Ale</t>
  </si>
  <si>
    <t>Standard / Ordinary Bitter</t>
  </si>
  <si>
    <t>3.8 - 4.6</t>
  </si>
  <si>
    <t>30 - 50</t>
  </si>
  <si>
    <t>4.6 - 6.2</t>
  </si>
  <si>
    <t>Scottish Light 60/-</t>
  </si>
  <si>
    <t>Scottish Heavy 70/-</t>
  </si>
  <si>
    <t>10 - 20</t>
  </si>
  <si>
    <t>2.5 - 3.2</t>
  </si>
  <si>
    <t>American Ale</t>
  </si>
  <si>
    <t>American Pale Ale</t>
  </si>
  <si>
    <t>(D)</t>
  </si>
  <si>
    <t>(CH)</t>
  </si>
  <si>
    <t>(GB)</t>
  </si>
  <si>
    <t>American Brown Ale</t>
  </si>
  <si>
    <t>4.3 - 6.2</t>
  </si>
  <si>
    <t>Mild</t>
  </si>
  <si>
    <t>Südenglisches Brown Ale</t>
  </si>
  <si>
    <t>Nordenglisches Brown Ale</t>
  </si>
  <si>
    <t>2.8 - 4.5</t>
  </si>
  <si>
    <t>12 - 20</t>
  </si>
  <si>
    <t>2.8 - 4.1</t>
  </si>
  <si>
    <t>Baltic Porter</t>
  </si>
  <si>
    <t>(Baltikum)</t>
  </si>
  <si>
    <t>5.5 - 9.5</t>
  </si>
  <si>
    <t>Sweet Stout</t>
  </si>
  <si>
    <t>Oatmeal Stout</t>
  </si>
  <si>
    <t>Foreign Stout</t>
  </si>
  <si>
    <t>Russian Imperial Stout</t>
  </si>
  <si>
    <t>(Russ)</t>
  </si>
  <si>
    <t>4.2 - 5.9</t>
  </si>
  <si>
    <t>30 - 70</t>
  </si>
  <si>
    <t>5.5 - 8</t>
  </si>
  <si>
    <t>50 - 90</t>
  </si>
  <si>
    <t>8 - 12</t>
  </si>
  <si>
    <t>Englisches IPA</t>
  </si>
  <si>
    <t>American IPA</t>
  </si>
  <si>
    <t>Imperial IPA</t>
  </si>
  <si>
    <t>40 - 60</t>
  </si>
  <si>
    <t>16 - 28</t>
  </si>
  <si>
    <t>2.6 - 4.6</t>
  </si>
  <si>
    <t>5 - 7.5</t>
  </si>
  <si>
    <t>40 - 70</t>
  </si>
  <si>
    <t>5.5 - 7.5</t>
  </si>
  <si>
    <t>60 - 120</t>
  </si>
  <si>
    <t>7.5 - 10</t>
  </si>
  <si>
    <t>Roggenbier</t>
  </si>
  <si>
    <t>Weizenbock</t>
  </si>
  <si>
    <t>Witbier</t>
  </si>
  <si>
    <t>Saison</t>
  </si>
  <si>
    <t>Bière de Garde</t>
  </si>
  <si>
    <t>Saures Ale</t>
  </si>
  <si>
    <t>Berliner Weisse</t>
  </si>
  <si>
    <t>Flanders Red Ale</t>
  </si>
  <si>
    <t>Flanders brown Ale</t>
  </si>
  <si>
    <t>Gueuze</t>
  </si>
  <si>
    <t>Frucht Lambic</t>
  </si>
  <si>
    <t>Belgisches Blond Ale</t>
  </si>
  <si>
    <t>Belgisches dunkles Starkbier</t>
  </si>
  <si>
    <t>Starkes Ale</t>
  </si>
  <si>
    <t>Old Ale</t>
  </si>
  <si>
    <t>Englischer Barleywine</t>
  </si>
  <si>
    <t>American Bearlywine</t>
  </si>
  <si>
    <t>Rauchbier</t>
  </si>
  <si>
    <t>Klassisches Rauchbier</t>
  </si>
  <si>
    <t>4 - 8</t>
  </si>
  <si>
    <t>2 - 3.1</t>
  </si>
  <si>
    <t>11.9 - 13.3</t>
  </si>
  <si>
    <t>2.6 - 3.6</t>
  </si>
  <si>
    <t>4.8 - 5.5</t>
  </si>
  <si>
    <t>20 - 35</t>
  </si>
  <si>
    <t>10 - 28</t>
  </si>
  <si>
    <t>0.5 - 3.1</t>
  </si>
  <si>
    <t>12 - 37</t>
  </si>
  <si>
    <t>14.7 - 19.3</t>
  </si>
  <si>
    <t>6 - 8.5</t>
  </si>
  <si>
    <t>3 - 8</t>
  </si>
  <si>
    <t>7 - 8</t>
  </si>
  <si>
    <t>0.8 - 1.5</t>
  </si>
  <si>
    <t>'2.8 - 3.8</t>
  </si>
  <si>
    <t>20 - 32</t>
  </si>
  <si>
    <t>11.9 - 14</t>
  </si>
  <si>
    <t>4.6 - 6.5</t>
  </si>
  <si>
    <t>6 - 14</t>
  </si>
  <si>
    <t>10 - 13.3</t>
  </si>
  <si>
    <t>0.3 - 2.6</t>
  </si>
  <si>
    <t>30 - 43</t>
  </si>
  <si>
    <t>5 - 6.5</t>
  </si>
  <si>
    <t>10 - 14.7</t>
  </si>
  <si>
    <t>5 - 8</t>
  </si>
  <si>
    <t>0 - 2.6</t>
  </si>
  <si>
    <t>8 - 14</t>
  </si>
  <si>
    <t>6 - 7.5</t>
  </si>
  <si>
    <t>Alkohol-gehalt 
% vol.</t>
  </si>
  <si>
    <t>6 - 12</t>
  </si>
  <si>
    <t>1.3 - 4.1</t>
  </si>
  <si>
    <t>7.5 - 10.5</t>
  </si>
  <si>
    <t>24 - 43</t>
  </si>
  <si>
    <t>2.6 - 6.1</t>
  </si>
  <si>
    <t>8 - 11</t>
  </si>
  <si>
    <t>30 - 60</t>
  </si>
  <si>
    <t>20 - 43</t>
  </si>
  <si>
    <t>19.3 - 28</t>
  </si>
  <si>
    <t>3.8 - 5.6</t>
  </si>
  <si>
    <t>6 - 9</t>
  </si>
  <si>
    <t>35 - 70</t>
  </si>
  <si>
    <t>16 - 43</t>
  </si>
  <si>
    <t>50 - 120</t>
  </si>
  <si>
    <t>20 - 37</t>
  </si>
  <si>
    <t>12.3 - 14</t>
  </si>
  <si>
    <t>3.1 - 4.1</t>
  </si>
  <si>
    <t>Wiener Lager</t>
  </si>
  <si>
    <t>Oktoberfest / Märzen</t>
  </si>
  <si>
    <t>20 - 28</t>
  </si>
  <si>
    <t>4.8 - 5.7</t>
  </si>
  <si>
    <t>(A)</t>
  </si>
  <si>
    <t>Lite American Lager</t>
  </si>
  <si>
    <t>2.8 - 4.2</t>
  </si>
  <si>
    <t>4 - 12</t>
  </si>
  <si>
    <t>11.4 - 13.7</t>
  </si>
  <si>
    <t>4.6 - 6</t>
  </si>
  <si>
    <t>Deutsches Pilsner</t>
  </si>
  <si>
    <t>25 - 45</t>
  </si>
  <si>
    <t>4 - 10</t>
  </si>
  <si>
    <t>7 - 12</t>
  </si>
  <si>
    <t>Dunkles American Lager</t>
  </si>
  <si>
    <t>8 - 20</t>
  </si>
  <si>
    <t>4.2 - 6</t>
  </si>
  <si>
    <t>28 - 55</t>
  </si>
  <si>
    <t>33 - 59</t>
  </si>
  <si>
    <t>3.3 - 4.8</t>
  </si>
  <si>
    <t>Eisbock</t>
  </si>
  <si>
    <t>35 - 59</t>
  </si>
  <si>
    <t>18.8 - 28</t>
  </si>
  <si>
    <t>5.1 - 8.7</t>
  </si>
  <si>
    <t>9 - 14</t>
  </si>
  <si>
    <t>1.8 - 2.8</t>
  </si>
  <si>
    <t>Düsseldorfer Alt</t>
  </si>
  <si>
    <t>35 - 50</t>
  </si>
  <si>
    <t>11.4 - 13.3</t>
  </si>
  <si>
    <t>Special / Best / Premium Bitter</t>
  </si>
  <si>
    <t>12 - 35</t>
  </si>
  <si>
    <t>24 - 49</t>
  </si>
  <si>
    <t>6.5 - 8</t>
  </si>
  <si>
    <t>28 - 37</t>
  </si>
  <si>
    <t>20 - 33</t>
  </si>
  <si>
    <t>35 - 69</t>
  </si>
  <si>
    <t>37 - 69</t>
  </si>
  <si>
    <t>39 - 59</t>
  </si>
  <si>
    <t>43 - 69</t>
  </si>
  <si>
    <t>49 - 79</t>
  </si>
  <si>
    <t>59 - 79</t>
  </si>
  <si>
    <t>Biertypen und Eckdaten nach BJCP (Style Guidelines Chart), Ausgabe 2008</t>
  </si>
  <si>
    <t>Premium American Lager</t>
  </si>
  <si>
    <t>16 - 22</t>
  </si>
  <si>
    <t>6 - 10</t>
  </si>
  <si>
    <t>2.1 - 3.1</t>
  </si>
  <si>
    <t>11.2 - 12.6</t>
  </si>
  <si>
    <t>23 - 30</t>
  </si>
  <si>
    <t>11.9 - 13.8</t>
  </si>
  <si>
    <t>2.6 - 3.8</t>
  </si>
  <si>
    <t xml:space="preserve"> 4.7- 5.4</t>
  </si>
  <si>
    <t xml:space="preserve"> 4.8 - 6</t>
  </si>
  <si>
    <t>-0.5 - 2</t>
  </si>
  <si>
    <t>11 - 12.4</t>
  </si>
  <si>
    <t>2.1 - 3.3</t>
  </si>
  <si>
    <t>Bömisches Pilsner</t>
  </si>
  <si>
    <t>18 - 30</t>
  </si>
  <si>
    <t>11 - 13.8</t>
  </si>
  <si>
    <t>3.3 - 4.3</t>
  </si>
  <si>
    <t>11 - 14.7</t>
  </si>
  <si>
    <t>11.4 - 12.9</t>
  </si>
  <si>
    <t>14 - 28</t>
  </si>
  <si>
    <t>10.9 - 13.8</t>
  </si>
  <si>
    <t>2.6 - 4.1</t>
  </si>
  <si>
    <t>12 - 22</t>
  </si>
  <si>
    <t>15.6 - 17.5</t>
  </si>
  <si>
    <t>2.8 - 4.6</t>
  </si>
  <si>
    <t>15.7 - 17.5</t>
  </si>
  <si>
    <t>12 -49</t>
  </si>
  <si>
    <t>17.5 - 26.4</t>
  </si>
  <si>
    <t>4.1 - 6.1</t>
  </si>
  <si>
    <t>9.5 - 13.3</t>
  </si>
  <si>
    <t>10 - 13.6</t>
  </si>
  <si>
    <t>26 - 37</t>
  </si>
  <si>
    <t>2.8 - 3.6</t>
  </si>
  <si>
    <t>22 - 33</t>
  </si>
  <si>
    <t>8 - 28</t>
  </si>
  <si>
    <t>10 - 32</t>
  </si>
  <si>
    <t>10 - 11.9</t>
  </si>
  <si>
    <t>11.9 - 14.7</t>
  </si>
  <si>
    <t>18 - 33</t>
  </si>
  <si>
    <t>7.6 - 8.8</t>
  </si>
  <si>
    <t>2.6 - 3.3</t>
  </si>
  <si>
    <t>8.8 - 10</t>
  </si>
  <si>
    <t>2.5 - 3.6</t>
  </si>
  <si>
    <t>17 - 35</t>
  </si>
  <si>
    <t>28 - 49</t>
  </si>
  <si>
    <t>17.1 - 30.1</t>
  </si>
  <si>
    <t>4.6 - 13.8</t>
  </si>
  <si>
    <t>6.5 - 10</t>
  </si>
  <si>
    <t>11.2 - 14.7</t>
  </si>
  <si>
    <t>7.6 - 9.5</t>
  </si>
  <si>
    <t>8.3 - 10.5</t>
  </si>
  <si>
    <t>10 - 12.9</t>
  </si>
  <si>
    <t>2.1 - 3.6</t>
  </si>
  <si>
    <t>11.9 - 15.9</t>
  </si>
  <si>
    <t>14.7 - 21.6</t>
  </si>
  <si>
    <t>9 - 12.4</t>
  </si>
  <si>
    <t>3.1 - 6.1</t>
  </si>
  <si>
    <t>43- 79</t>
  </si>
  <si>
    <t>13.8 - 18.2</t>
  </si>
  <si>
    <t>12.4 - 18.2</t>
  </si>
  <si>
    <t>2.6 - 5.6</t>
  </si>
  <si>
    <t>18.2 - 27</t>
  </si>
  <si>
    <t>4.6 - 7.6</t>
  </si>
  <si>
    <t>12 - 30</t>
  </si>
  <si>
    <t>16 - 30</t>
  </si>
  <si>
    <t>18.2- 21.6</t>
  </si>
  <si>
    <t>2.6 - 5.1</t>
  </si>
  <si>
    <t>Helles Weizen / Weissbier</t>
  </si>
  <si>
    <t>4 - 16</t>
  </si>
  <si>
    <t>11 - 12.9</t>
  </si>
  <si>
    <t>28- 45</t>
  </si>
  <si>
    <t>15.7 - 21.6</t>
  </si>
  <si>
    <t>11.4 - 13.8</t>
  </si>
  <si>
    <t>2.1 - 4.1</t>
  </si>
  <si>
    <t>0 - 10</t>
  </si>
  <si>
    <t>Lambic (Straight, unblended)</t>
  </si>
  <si>
    <t>0 - 1.5</t>
  </si>
  <si>
    <t>15.2 - 18.2</t>
  </si>
  <si>
    <t>2.1 - 4.6</t>
  </si>
  <si>
    <t>18.2 - 20.5</t>
  </si>
  <si>
    <t>Belgisches goldenes Starkbier</t>
  </si>
  <si>
    <t>22 - 35</t>
  </si>
  <si>
    <t>17.1 - 22.7</t>
  </si>
  <si>
    <t>18.2 - 25.9</t>
  </si>
  <si>
    <t>14.7- 21.6</t>
  </si>
  <si>
    <t>4.1 - 7.6</t>
  </si>
  <si>
    <t>12.4 - 14</t>
  </si>
  <si>
    <t xml:space="preserve">BJCP
Nr. </t>
  </si>
  <si>
    <t>Restextrakt-
gehalt
°P</t>
  </si>
  <si>
    <t>Bittere
IBU / EBU</t>
  </si>
  <si>
    <t>Farbe nach
EBC</t>
  </si>
  <si>
    <t>Helles Lager</t>
  </si>
  <si>
    <t>Dunkles Lager</t>
  </si>
  <si>
    <t>Bernstein Lager</t>
  </si>
  <si>
    <t>Würzekochen</t>
  </si>
  <si>
    <t>Whirlpool, ruhen lassen</t>
  </si>
  <si>
    <t>Jodprobe</t>
  </si>
  <si>
    <t>Hybrid Bernstein</t>
  </si>
  <si>
    <t>Scottish and Irish Ale</t>
  </si>
  <si>
    <t>Braunes Englisches Ale</t>
  </si>
  <si>
    <t>IPA Indian Pale Ale</t>
  </si>
  <si>
    <t>Belgisches und Französisches Ale</t>
  </si>
  <si>
    <t>Belgisches Starkbier</t>
  </si>
  <si>
    <t>Deutsches Weizen- Roggenbier</t>
  </si>
  <si>
    <t>(B, F)</t>
  </si>
  <si>
    <t>(B)</t>
  </si>
  <si>
    <t>Biscuit Malz</t>
  </si>
  <si>
    <t>Roggencaramelmalz</t>
  </si>
  <si>
    <t>Demeter Dinkel geröstet</t>
  </si>
  <si>
    <t>Gersten Diastasemalz</t>
  </si>
  <si>
    <t>Gerstenflocken</t>
  </si>
  <si>
    <t>Haferflocken</t>
  </si>
  <si>
    <t>Maisflocken</t>
  </si>
  <si>
    <t>Weizenflocken</t>
  </si>
  <si>
    <t>Reisflocken</t>
  </si>
  <si>
    <t>Brew body</t>
  </si>
  <si>
    <t>Kandiszucker braun</t>
  </si>
  <si>
    <t>Kandiszucker flüssig</t>
  </si>
  <si>
    <t>Kandiszucker weiss</t>
  </si>
  <si>
    <t>Glucose VINOFERM</t>
  </si>
  <si>
    <t>Koriandersamen</t>
  </si>
  <si>
    <t>Kardamon Kapseln</t>
  </si>
  <si>
    <t>Calciumhydroxid</t>
  </si>
  <si>
    <t>Milchsäure</t>
  </si>
  <si>
    <t>Phosphorsäure</t>
  </si>
  <si>
    <t>Orangenschale</t>
  </si>
  <si>
    <t>Schaumverstärker</t>
  </si>
  <si>
    <t>Sinamnar</t>
  </si>
  <si>
    <t>Rechen-
wert Farbe</t>
  </si>
  <si>
    <t>Bereich
Farbe (EBC)</t>
  </si>
  <si>
    <t>1 - 15</t>
  </si>
  <si>
    <t>1 - 5</t>
  </si>
  <si>
    <t>1 - 50</t>
  </si>
  <si>
    <t>1 - 80</t>
  </si>
  <si>
    <t>2.5 - 5</t>
  </si>
  <si>
    <t>2.5 - 4</t>
  </si>
  <si>
    <t>45 - 55</t>
  </si>
  <si>
    <t>5 - 15</t>
  </si>
  <si>
    <t>150 - 200</t>
  </si>
  <si>
    <t>500 - 1000</t>
  </si>
  <si>
    <t>1 - 100</t>
  </si>
  <si>
    <t>1 - 60</t>
  </si>
  <si>
    <t>Roggenmalz hell</t>
  </si>
  <si>
    <t>1 - 30</t>
  </si>
  <si>
    <t>1 - 20</t>
  </si>
  <si>
    <t>5 - 10</t>
  </si>
  <si>
    <t>1 - 25</t>
  </si>
  <si>
    <t>80 - 100</t>
  </si>
  <si>
    <t>1 - 10</t>
  </si>
  <si>
    <t>Caramünch I (dunkel)</t>
  </si>
  <si>
    <t>30 - 35</t>
  </si>
  <si>
    <t>170 - 220</t>
  </si>
  <si>
    <t>140 - 160</t>
  </si>
  <si>
    <t>110 - 130</t>
  </si>
  <si>
    <t>2.5  6.5</t>
  </si>
  <si>
    <t>100 - 130</t>
  </si>
  <si>
    <t>3 - 5</t>
  </si>
  <si>
    <t>14 - 18</t>
  </si>
  <si>
    <t>800 - 1000</t>
  </si>
  <si>
    <t>1100 - 1200</t>
  </si>
  <si>
    <t>1300 - 1500</t>
  </si>
  <si>
    <t>500 - 800</t>
  </si>
  <si>
    <t>1100 - 1300</t>
  </si>
  <si>
    <t>40 - 50</t>
  </si>
  <si>
    <t>3 - 6</t>
  </si>
  <si>
    <t>60 - 80</t>
  </si>
  <si>
    <t>3 - 7</t>
  </si>
  <si>
    <t>280 - 320</t>
  </si>
  <si>
    <t>Zugabe
bis max.</t>
  </si>
  <si>
    <t>Hersteller</t>
  </si>
  <si>
    <t>Ober-
gärig</t>
  </si>
  <si>
    <t>Unter-
gärig</t>
  </si>
  <si>
    <t>Über den Restvergärungsgrad gibt es wenig eindeutige Angaben.</t>
  </si>
  <si>
    <t>Fermentis</t>
  </si>
  <si>
    <t>Safale S-04</t>
  </si>
  <si>
    <t>Safale S-33</t>
  </si>
  <si>
    <t>Saflager S-23</t>
  </si>
  <si>
    <t>Safale US-05</t>
  </si>
  <si>
    <t>Safbrew T58</t>
  </si>
  <si>
    <t>Saflager W-34</t>
  </si>
  <si>
    <t>Safbrew WB-06</t>
  </si>
  <si>
    <t>Safbrew Abbaye</t>
  </si>
  <si>
    <t>Danstar</t>
  </si>
  <si>
    <t>BRY-97 Pale Ale</t>
  </si>
  <si>
    <t>Belle Saison</t>
  </si>
  <si>
    <t>Munich</t>
  </si>
  <si>
    <t>Nottingham</t>
  </si>
  <si>
    <t>Windsor</t>
  </si>
  <si>
    <t>CBC-1</t>
  </si>
  <si>
    <t>Blanche</t>
  </si>
  <si>
    <t>Trockenhefe</t>
  </si>
  <si>
    <t>Ale 514</t>
  </si>
  <si>
    <t>Mauribrew</t>
  </si>
  <si>
    <t>Safbrew F2</t>
  </si>
  <si>
    <t>Für Flaschen Nachgärung</t>
  </si>
  <si>
    <t>15-25</t>
  </si>
  <si>
    <t>Dosierung</t>
  </si>
  <si>
    <t>Tabelle
g/hl</t>
  </si>
  <si>
    <t>50 - 80</t>
  </si>
  <si>
    <t>15 - 25 (20)</t>
  </si>
  <si>
    <t>12 - 25 (22)</t>
  </si>
  <si>
    <t>9 - 22 (12-15)</t>
  </si>
  <si>
    <t>80 - 120</t>
  </si>
  <si>
    <t>12 - 25 (18 - 24)</t>
  </si>
  <si>
    <t>Anstell-
temperatur
°C (ideal °C)</t>
  </si>
  <si>
    <t>12 - 25 (15-20)</t>
  </si>
  <si>
    <t>Für Biertyp, Bemerkungen</t>
  </si>
  <si>
    <t>Weizenbiere</t>
  </si>
  <si>
    <t>2 - 7</t>
  </si>
  <si>
    <t>15 - 22 (20)</t>
  </si>
  <si>
    <t>50 - 100</t>
  </si>
  <si>
    <t>USA, Barleywine, Ale, Pale Ale, Browns, IPA</t>
  </si>
  <si>
    <t>15 - 35 (20)</t>
  </si>
  <si>
    <t>pfeffrig, würzig, über 14 vol. %</t>
  </si>
  <si>
    <t>Weizen, Hefeweizen, Dunkelweizen, Weizenbock bis 7 vol.%</t>
  </si>
  <si>
    <t>17 - 22 (20)</t>
  </si>
  <si>
    <t>GB Ale, Bitter, IPA, Alt, Barleywine, Stout, Bock</t>
  </si>
  <si>
    <t>10 - 23 (20)</t>
  </si>
  <si>
    <t>GB Ale, Pale/Amber/Red-Ale, Scotch-Style, Porter, Sweet/Cream-Stout</t>
  </si>
  <si>
    <t xml:space="preserve">Alkohole
</t>
  </si>
  <si>
    <t>Brewferm</t>
  </si>
  <si>
    <t>Untergärig</t>
  </si>
  <si>
    <t>18 - 24</t>
  </si>
  <si>
    <t>Weissbiere</t>
  </si>
  <si>
    <t>Amber und dunkle Biere</t>
  </si>
  <si>
    <t>10 - 15</t>
  </si>
  <si>
    <t>wenig / ohne Schwefelbildung</t>
  </si>
  <si>
    <t>17 - 30 (22)</t>
  </si>
  <si>
    <t>English oder Belgian Ales, Strong Ale, Kölsch, Porter oder Stout.</t>
  </si>
  <si>
    <t>8.5 (11.5)</t>
  </si>
  <si>
    <t>Packungsinhalt</t>
  </si>
  <si>
    <t>klein
g</t>
  </si>
  <si>
    <t>gross
g</t>
  </si>
  <si>
    <t>Hefe</t>
  </si>
  <si>
    <t>Zellverknüpfung</t>
  </si>
  <si>
    <t>Mittelwert
g/hl</t>
  </si>
  <si>
    <t>Zusatz</t>
  </si>
  <si>
    <t>1-15</t>
  </si>
  <si>
    <t>Brau- und Rauchshop Stand Juli 2015, Ergänzungen von Weyermann</t>
  </si>
  <si>
    <t>Gewürze</t>
  </si>
  <si>
    <t>Magnesiumsulfat (Brausalz)</t>
  </si>
  <si>
    <t>Säuerungsmittel</t>
  </si>
  <si>
    <t>Brausalze</t>
  </si>
  <si>
    <t>Kalciumchlorid 33% (Brausalz)</t>
  </si>
  <si>
    <t>Schönungsmitel</t>
  </si>
  <si>
    <t>Klärmittel / Eiweisstrennung</t>
  </si>
  <si>
    <t>g/hl</t>
  </si>
  <si>
    <t>Geschmack und Schaum, Weissbiere</t>
  </si>
  <si>
    <t>Spezialbiere</t>
  </si>
  <si>
    <t>Verwendung / Bemerkung</t>
  </si>
  <si>
    <t>Geschmacksverstärker, Schaum</t>
  </si>
  <si>
    <t>Farbe</t>
  </si>
  <si>
    <t>Spezialbiere, Toffee, Vanille, Röstaromen</t>
  </si>
  <si>
    <t>Spezialbiere, Toffee, geröstetes Brot</t>
  </si>
  <si>
    <t>Spezialbiere, Kaffee, dunkles Steinobst</t>
  </si>
  <si>
    <t>Candy Sirup dunkel D-90</t>
  </si>
  <si>
    <t>Candy Sirup extra Dunkel D-180</t>
  </si>
  <si>
    <t>Candy Sirup amber D-45</t>
  </si>
  <si>
    <t>Zucker und Farbstoffe (meist belgische Biere)</t>
  </si>
  <si>
    <t>Traubenzucker, für schnelle Vergärung</t>
  </si>
  <si>
    <t xml:space="preserve">Zugabe bei </t>
  </si>
  <si>
    <t>Maische-k.
Min.</t>
  </si>
  <si>
    <t>Würze-k.
Min.</t>
  </si>
  <si>
    <t>Malzextrakt, Färbemittel</t>
  </si>
  <si>
    <t>Spezialbiere, Würzstoff</t>
  </si>
  <si>
    <t>100-1500</t>
  </si>
  <si>
    <t>Läuterbottich</t>
  </si>
  <si>
    <t>Universal, Bitter,  Pale Ale, IPA, Scottish Ale, Light Porter, Stout</t>
  </si>
  <si>
    <t>Universal, Scottish Ale, Foreign Stout, Barleywine, Strong Bitter</t>
  </si>
  <si>
    <t>USA, Kölsch, Mild Ale, US Pale Ale, Brown Ale, Light  Ale,  Porter,  Stout</t>
  </si>
  <si>
    <t>Dortmunder</t>
  </si>
  <si>
    <t>Imperial Stout, Barley Wine,</t>
  </si>
  <si>
    <t>Belgische, Trappist, für hohe Alkoholgehalte</t>
  </si>
  <si>
    <t>Helles Münchner, Wiener, Märzen, Pilsner</t>
  </si>
  <si>
    <t>Belgisches helles Ale</t>
  </si>
  <si>
    <t>20 - 36</t>
  </si>
  <si>
    <t>12 - 13.5</t>
  </si>
  <si>
    <t>2.5 - 3.5</t>
  </si>
  <si>
    <t>Biertyp</t>
  </si>
  <si>
    <t xml:space="preserve">Sud Nr. </t>
  </si>
  <si>
    <t>Bitterwert</t>
  </si>
  <si>
    <t>Endvergärungsgrad</t>
  </si>
  <si>
    <t>Zielwerte</t>
  </si>
  <si>
    <t>typische Werte</t>
  </si>
  <si>
    <t>Karbonisierung</t>
  </si>
  <si>
    <t>Gärmethode</t>
  </si>
  <si>
    <t>Karboni-sierung
g CO2/l</t>
  </si>
  <si>
    <t>4.5 - 4.9</t>
  </si>
  <si>
    <t>5 - 5.5</t>
  </si>
  <si>
    <t>4.5 - 5</t>
  </si>
  <si>
    <t>5 - 6</t>
  </si>
  <si>
    <t>3 - 4</t>
  </si>
  <si>
    <t>3.4 - 4.5</t>
  </si>
  <si>
    <t>6.5 - 9</t>
  </si>
  <si>
    <t>3.8 - 4.8</t>
  </si>
  <si>
    <t>5.5 - 7</t>
  </si>
  <si>
    <t>Malzsorte</t>
  </si>
  <si>
    <t>Basismalze</t>
  </si>
  <si>
    <t>Röstmalze</t>
  </si>
  <si>
    <t>Hafermalz</t>
  </si>
  <si>
    <t>5 - 30</t>
  </si>
  <si>
    <t>Buchenrauch Gerstenmalz</t>
  </si>
  <si>
    <t>Red X</t>
  </si>
  <si>
    <t>28 - 32</t>
  </si>
  <si>
    <t>Reisspelz</t>
  </si>
  <si>
    <t>erleichtert Läutern bei hohem Rohfruchtanteil</t>
  </si>
  <si>
    <t>Eiweisstrennung nach Hopfenkochen</t>
  </si>
  <si>
    <t>Invertzucker</t>
  </si>
  <si>
    <t>Hopfentabelle (Pellets)</t>
  </si>
  <si>
    <t>- Caramalze</t>
  </si>
  <si>
    <t>- Basismalze</t>
  </si>
  <si>
    <t>- Weizenmalze</t>
  </si>
  <si>
    <t>- Röstmalze</t>
  </si>
  <si>
    <t>- Spezialmalze</t>
  </si>
  <si>
    <t>Bemerkungen</t>
  </si>
  <si>
    <t>Zellbezug</t>
  </si>
  <si>
    <t>Rohfrucht / Flocken</t>
  </si>
  <si>
    <t>Spezialmalze</t>
  </si>
  <si>
    <t>Vienna, Chateau Vienna</t>
  </si>
  <si>
    <t>Light Munic</t>
  </si>
  <si>
    <t>Munic Malt</t>
  </si>
  <si>
    <t>Klostermalz, Chateau Abbey, Aromatic MD</t>
  </si>
  <si>
    <t>Briess Victory</t>
  </si>
  <si>
    <t xml:space="preserve">Carafoam, Cara Clair, </t>
  </si>
  <si>
    <t>CaraMalt</t>
  </si>
  <si>
    <t>Cara Ruby</t>
  </si>
  <si>
    <t>Caramel 60L, Chateau Cristal</t>
  </si>
  <si>
    <t>Chateau Chocolat, Chocolat Malt</t>
  </si>
  <si>
    <t>Dark Chocolate</t>
  </si>
  <si>
    <t>Chateau Black, Black</t>
  </si>
  <si>
    <t>Carafa Spezial 1</t>
  </si>
  <si>
    <t>Carafa Spezial 2</t>
  </si>
  <si>
    <t>Carafa Spezial 3</t>
  </si>
  <si>
    <t>900 - 1200</t>
  </si>
  <si>
    <t>Blackprinz</t>
  </si>
  <si>
    <t>Caramelmalze</t>
  </si>
  <si>
    <r>
      <t>g CO</t>
    </r>
    <r>
      <rPr>
        <vertAlign val="subscript"/>
        <sz val="10"/>
        <rFont val="Calibri"/>
        <family val="2"/>
      </rPr>
      <t>2</t>
    </r>
    <r>
      <rPr>
        <sz val="10"/>
        <rFont val="Calibri"/>
        <family val="2"/>
      </rPr>
      <t>/l</t>
    </r>
  </si>
  <si>
    <t>Schüttung und Berechnung</t>
  </si>
  <si>
    <t>Geplante Biermenge</t>
  </si>
  <si>
    <t>Voraussichtliche Verlustmenge</t>
  </si>
  <si>
    <t>Masse der Würze</t>
  </si>
  <si>
    <t>Bezeichnung</t>
  </si>
  <si>
    <t>Einheit</t>
  </si>
  <si>
    <t>Berechnungsblatt</t>
  </si>
  <si>
    <t>SG</t>
  </si>
  <si>
    <t>Total Schüttung</t>
  </si>
  <si>
    <t>kg</t>
  </si>
  <si>
    <t xml:space="preserve">Sudhaus-Ausbeute ca. </t>
  </si>
  <si>
    <t>Berechnung der Bierfarbe</t>
  </si>
  <si>
    <t>Zufärbung beim Würzekochen ca.</t>
  </si>
  <si>
    <t>Bierfarbe aus Einzelwerten</t>
  </si>
  <si>
    <t>Hopfenstopfen</t>
  </si>
  <si>
    <t>Hopfengaben</t>
  </si>
  <si>
    <t>Hopfensorte</t>
  </si>
  <si>
    <t>Kochzeit
Min</t>
  </si>
  <si>
    <t>Bittere
EBU</t>
  </si>
  <si>
    <t>Menge
g</t>
  </si>
  <si>
    <t>Bittergabe</t>
  </si>
  <si>
    <t>Aromagabe</t>
  </si>
  <si>
    <t>a-%</t>
  </si>
  <si>
    <t>Ausnutzung %</t>
  </si>
  <si>
    <t>Aroma 4</t>
  </si>
  <si>
    <t>Aroma 5</t>
  </si>
  <si>
    <t>Stopfen 6</t>
  </si>
  <si>
    <t>Bitter 1</t>
  </si>
  <si>
    <t>Bitter 2</t>
  </si>
  <si>
    <t>Bitter 3</t>
  </si>
  <si>
    <t>Näherungswerte</t>
  </si>
  <si>
    <t>Bittere, berechnet</t>
  </si>
  <si>
    <t>Wahrgenommene Bittere</t>
  </si>
  <si>
    <t>1 - 1.5</t>
  </si>
  <si>
    <t>1.5 - 2.5</t>
  </si>
  <si>
    <t>2.5 - 3.0</t>
  </si>
  <si>
    <t>3.0</t>
  </si>
  <si>
    <t>mild</t>
  </si>
  <si>
    <t>ausgewogen</t>
  </si>
  <si>
    <t>moderat herb</t>
  </si>
  <si>
    <t>sehr herb</t>
  </si>
  <si>
    <t>Bitterverhältnis zu Stammwürze</t>
  </si>
  <si>
    <t>Beutel
Stück</t>
  </si>
  <si>
    <t>Dosierung
g/hl</t>
  </si>
  <si>
    <t>Benötigt
g</t>
  </si>
  <si>
    <t>Bierrezept berechnen</t>
  </si>
  <si>
    <t>Braupfanne</t>
  </si>
  <si>
    <t>Gefässe</t>
  </si>
  <si>
    <t>Gärbottich</t>
  </si>
  <si>
    <t>Umfüll-Gefäss</t>
  </si>
  <si>
    <t>Kochen</t>
  </si>
  <si>
    <t>Gas/El</t>
  </si>
  <si>
    <t>kW</t>
  </si>
  <si>
    <t>Rechaud für Brauen</t>
  </si>
  <si>
    <t>Rechaud für Heisswasser</t>
  </si>
  <si>
    <t>Pumpe</t>
  </si>
  <si>
    <t>l/Min</t>
  </si>
  <si>
    <t>Diverse</t>
  </si>
  <si>
    <t>Messen der Stammwürze</t>
  </si>
  <si>
    <t>Wasser</t>
  </si>
  <si>
    <t>Birr</t>
  </si>
  <si>
    <t>Publizierte Messwerte</t>
  </si>
  <si>
    <t>Messung</t>
  </si>
  <si>
    <t>Gesamthärte</t>
  </si>
  <si>
    <t>°fH</t>
  </si>
  <si>
    <t>mg/l</t>
  </si>
  <si>
    <t>Nitrat</t>
  </si>
  <si>
    <t xml:space="preserve">Chlorid </t>
  </si>
  <si>
    <t>Sulfat</t>
  </si>
  <si>
    <t>Säurekapazität pH</t>
  </si>
  <si>
    <t>°dH</t>
  </si>
  <si>
    <t>mmol/l</t>
  </si>
  <si>
    <t>Restalkalität RA (A-B/3,5-C/7)</t>
  </si>
  <si>
    <t>Ort der Wasserentnahme</t>
  </si>
  <si>
    <t>ph</t>
  </si>
  <si>
    <t>Inhalt
l</t>
  </si>
  <si>
    <t>Ø
mm</t>
  </si>
  <si>
    <t>Höhe
mm</t>
  </si>
  <si>
    <t>Pfanne 1 für Heisswasser</t>
  </si>
  <si>
    <t>Pfanne 2 für Heisswasser</t>
  </si>
  <si>
    <t>Inhalt pro 10mm</t>
  </si>
  <si>
    <t>Würzekühlen</t>
  </si>
  <si>
    <t>von 90 auf 20°C</t>
  </si>
  <si>
    <t>ca. Min</t>
  </si>
  <si>
    <t>Bei 20 °C Umgebungstemp.</t>
  </si>
  <si>
    <t>°dH=(°fH*0.56)</t>
  </si>
  <si>
    <t>Ca</t>
  </si>
  <si>
    <t>Na</t>
  </si>
  <si>
    <t>Mg</t>
  </si>
  <si>
    <t>K</t>
  </si>
  <si>
    <t>Cl</t>
  </si>
  <si>
    <t>Ph</t>
  </si>
  <si>
    <t>Calzium</t>
  </si>
  <si>
    <t>Natrium</t>
  </si>
  <si>
    <t>Magnesium</t>
  </si>
  <si>
    <r>
      <t>NO</t>
    </r>
    <r>
      <rPr>
        <vertAlign val="subscript"/>
        <sz val="9"/>
        <rFont val="Calibri"/>
        <family val="2"/>
      </rPr>
      <t>3</t>
    </r>
  </si>
  <si>
    <t>Kalium</t>
  </si>
  <si>
    <r>
      <t>SO</t>
    </r>
    <r>
      <rPr>
        <vertAlign val="subscript"/>
        <sz val="10"/>
        <rFont val="Calibri"/>
        <family val="2"/>
      </rPr>
      <t>4</t>
    </r>
  </si>
  <si>
    <t>Quelle: www.trinkwasser.ch</t>
  </si>
  <si>
    <t>Sorte</t>
  </si>
  <si>
    <t>Body und Schaum, Weissbiere + allgemein</t>
  </si>
  <si>
    <t>Meine Anlage und das Wasser</t>
  </si>
  <si>
    <t>Braudatum</t>
  </si>
  <si>
    <t>Biername</t>
  </si>
  <si>
    <t>Brauer</t>
  </si>
  <si>
    <t>Anschwänzen</t>
  </si>
  <si>
    <t>Einmaischen</t>
  </si>
  <si>
    <t>Total Wasser</t>
  </si>
  <si>
    <t>Flüssigkeitsverlust durch Treber</t>
  </si>
  <si>
    <t>Einmaischtemperatur Malztemperatur kompensiert</t>
  </si>
  <si>
    <t>ja=1
nein=0</t>
  </si>
  <si>
    <t>Wasser-Aufbereitung</t>
  </si>
  <si>
    <t>Erste</t>
  </si>
  <si>
    <t>Letzte</t>
  </si>
  <si>
    <t>Füllhöhe Pfanne</t>
  </si>
  <si>
    <t>Randabstand bis Wasser</t>
  </si>
  <si>
    <t>Maischekochen, Rast</t>
  </si>
  <si>
    <t>Beginn läutern</t>
  </si>
  <si>
    <t>Ende läutern</t>
  </si>
  <si>
    <t xml:space="preserve">Würzebruch erreicht </t>
  </si>
  <si>
    <t>Malze (Schüttung)</t>
  </si>
  <si>
    <t>Bier-Rezept / Protokoll</t>
  </si>
  <si>
    <t>Bierfarbe Total</t>
  </si>
  <si>
    <t>Ende Würzekochen</t>
  </si>
  <si>
    <t>Ruhen lassen (Konvektion)</t>
  </si>
  <si>
    <t>Würze Abziehen</t>
  </si>
  <si>
    <t>Umpumpen, Hefe anstellen</t>
  </si>
  <si>
    <t>Deckel aufgesetzt</t>
  </si>
  <si>
    <t>Anzahl Flaschen</t>
  </si>
  <si>
    <t xml:space="preserve">Aufteilung </t>
  </si>
  <si>
    <t>Refraktometer</t>
  </si>
  <si>
    <t>Spindel</t>
  </si>
  <si>
    <t>Extrakt</t>
  </si>
  <si>
    <t xml:space="preserve">15 Min </t>
  </si>
  <si>
    <t>Berechneter Alkoholgehalt</t>
  </si>
  <si>
    <t>vergärbarer Extrakt der Speise</t>
  </si>
  <si>
    <t>erforderlicher vergärbarer Extrakt</t>
  </si>
  <si>
    <t>erforderliche Speise</t>
  </si>
  <si>
    <t>gewünschter Kohlensäuregehalt</t>
  </si>
  <si>
    <t>Sättigungskonzentration</t>
  </si>
  <si>
    <t>benötigte Karbonisierung</t>
  </si>
  <si>
    <t>Temp.</t>
  </si>
  <si>
    <r>
      <t>g CO</t>
    </r>
    <r>
      <rPr>
        <b/>
        <sz val="6"/>
        <rFont val="Calibri"/>
        <family val="2"/>
      </rPr>
      <t>2</t>
    </r>
    <r>
      <rPr>
        <b/>
        <sz val="10"/>
        <rFont val="Calibri"/>
        <family val="2"/>
      </rPr>
      <t>/l</t>
    </r>
  </si>
  <si>
    <t>Sättigungskonzentration bei atmosphärischem Druck</t>
  </si>
  <si>
    <t>Speise, berechnete Menge</t>
  </si>
  <si>
    <t>Endvergärt</t>
  </si>
  <si>
    <t>Tage ca.</t>
  </si>
  <si>
    <t>ca. %</t>
  </si>
  <si>
    <t xml:space="preserve">Total </t>
  </si>
  <si>
    <t>(Ziel</t>
  </si>
  <si>
    <t>Ruhen, anschliessend klar laufen lassen</t>
  </si>
  <si>
    <t>Abbaye</t>
  </si>
  <si>
    <t>17 - 25 (20)</t>
  </si>
  <si>
    <t>Belgian White, Blonde, Golden, Dubbel, Tripel, Quad</t>
  </si>
  <si>
    <t>Universell, Flaschen und Fassgärung</t>
  </si>
  <si>
    <t>London ESB</t>
  </si>
  <si>
    <t>18 - 22 (20)</t>
  </si>
  <si>
    <t>Restvergär</t>
  </si>
  <si>
    <r>
      <t>Berechnungen nach Protokoll</t>
    </r>
    <r>
      <rPr>
        <sz val="12"/>
        <rFont val="Calibri"/>
        <family val="2"/>
      </rPr>
      <t xml:space="preserve"> (Näherungsberechnungen)</t>
    </r>
  </si>
  <si>
    <t>Platotabelle</t>
  </si>
  <si>
    <t>bezogen auf Wasser von 20 °C</t>
  </si>
  <si>
    <t>Gewichtsprozent (Saccharometerwert)</t>
  </si>
  <si>
    <t>Volumenprozent</t>
  </si>
  <si>
    <t xml:space="preserve">AF </t>
  </si>
  <si>
    <t>Ausbeutefaktor</t>
  </si>
  <si>
    <t>AF</t>
  </si>
  <si>
    <t>1,00000</t>
  </si>
  <si>
    <t>0,00</t>
  </si>
  <si>
    <t>1,01968</t>
  </si>
  <si>
    <t>5,00</t>
  </si>
  <si>
    <t>5,09</t>
  </si>
  <si>
    <t>4,90</t>
  </si>
  <si>
    <t>1,04003</t>
  </si>
  <si>
    <t>10,00</t>
  </si>
  <si>
    <t>10,38</t>
  </si>
  <si>
    <t>9,98</t>
  </si>
  <si>
    <t>1,06112</t>
  </si>
  <si>
    <t>15,00</t>
  </si>
  <si>
    <t>15,89</t>
  </si>
  <si>
    <t>15,28</t>
  </si>
  <si>
    <t>1,00039</t>
  </si>
  <si>
    <t>0,10</t>
  </si>
  <si>
    <t>1,02008</t>
  </si>
  <si>
    <t>5,10</t>
  </si>
  <si>
    <t>5,19</t>
  </si>
  <si>
    <t>4,99</t>
  </si>
  <si>
    <t>1,04045</t>
  </si>
  <si>
    <t>10,10</t>
  </si>
  <si>
    <t>10,49</t>
  </si>
  <si>
    <t>10,09</t>
  </si>
  <si>
    <t>1,06154</t>
  </si>
  <si>
    <t>15,10</t>
  </si>
  <si>
    <t>16,00</t>
  </si>
  <si>
    <t>15,39</t>
  </si>
  <si>
    <t>1,00078</t>
  </si>
  <si>
    <t>0,20</t>
  </si>
  <si>
    <t>0,19</t>
  </si>
  <si>
    <t>1,02048</t>
  </si>
  <si>
    <t>5,20</t>
  </si>
  <si>
    <t>5,30</t>
  </si>
  <si>
    <t>1,04086</t>
  </si>
  <si>
    <t>10,20</t>
  </si>
  <si>
    <t>10,60</t>
  </si>
  <si>
    <t>1,06197</t>
  </si>
  <si>
    <t>15,20</t>
  </si>
  <si>
    <t>16,11</t>
  </si>
  <si>
    <t>15,49</t>
  </si>
  <si>
    <t>1,00117</t>
  </si>
  <si>
    <t>0,30</t>
  </si>
  <si>
    <t>0,29</t>
  </si>
  <si>
    <t>1,02088</t>
  </si>
  <si>
    <t>5,40</t>
  </si>
  <si>
    <t>1,04127</t>
  </si>
  <si>
    <t>10,30</t>
  </si>
  <si>
    <t>10,71</t>
  </si>
  <si>
    <t>1,06241</t>
  </si>
  <si>
    <t>15,30</t>
  </si>
  <si>
    <t>16,22</t>
  </si>
  <si>
    <t>15,61</t>
  </si>
  <si>
    <t>1,00156</t>
  </si>
  <si>
    <t>0,40</t>
  </si>
  <si>
    <t>0,38</t>
  </si>
  <si>
    <t>1,02128</t>
  </si>
  <si>
    <t>5,51</t>
  </si>
  <si>
    <t>5,29</t>
  </si>
  <si>
    <t>1,04169</t>
  </si>
  <si>
    <t>10,40</t>
  </si>
  <si>
    <t>10,81</t>
  </si>
  <si>
    <t>1,06284</t>
  </si>
  <si>
    <t>15,40</t>
  </si>
  <si>
    <t>16,34</t>
  </si>
  <si>
    <t>15,72</t>
  </si>
  <si>
    <t>1,00195</t>
  </si>
  <si>
    <t>0,50</t>
  </si>
  <si>
    <t>0,48</t>
  </si>
  <si>
    <t>1,02168</t>
  </si>
  <si>
    <t>5,50</t>
  </si>
  <si>
    <t>5,61</t>
  </si>
  <si>
    <t>1,04211</t>
  </si>
  <si>
    <t>10,50</t>
  </si>
  <si>
    <t>10,92</t>
  </si>
  <si>
    <t>1,06327</t>
  </si>
  <si>
    <t>15,50</t>
  </si>
  <si>
    <t>16,45</t>
  </si>
  <si>
    <t>15,82</t>
  </si>
  <si>
    <t>1,00234</t>
  </si>
  <si>
    <t>0,60</t>
  </si>
  <si>
    <t>0,58</t>
  </si>
  <si>
    <t>1,02209</t>
  </si>
  <si>
    <t>5,60</t>
  </si>
  <si>
    <t>5,71</t>
  </si>
  <si>
    <t>5,49</t>
  </si>
  <si>
    <t>1,04253</t>
  </si>
  <si>
    <t>11,03</t>
  </si>
  <si>
    <t>10,61</t>
  </si>
  <si>
    <t>1,06370</t>
  </si>
  <si>
    <t>15,60</t>
  </si>
  <si>
    <t>16,56</t>
  </si>
  <si>
    <t>15,94</t>
  </si>
  <si>
    <t>1,00273</t>
  </si>
  <si>
    <t>0,70</t>
  </si>
  <si>
    <t>0,67</t>
  </si>
  <si>
    <t>1,02249</t>
  </si>
  <si>
    <t>5,70</t>
  </si>
  <si>
    <t>5,82</t>
  </si>
  <si>
    <t>1,04294</t>
  </si>
  <si>
    <t>10,70</t>
  </si>
  <si>
    <t>11,14</t>
  </si>
  <si>
    <t>1,06413</t>
  </si>
  <si>
    <t>15,70</t>
  </si>
  <si>
    <t>16,68</t>
  </si>
  <si>
    <t>16,04</t>
  </si>
  <si>
    <t>1,00312</t>
  </si>
  <si>
    <t>0,80</t>
  </si>
  <si>
    <t>0,77</t>
  </si>
  <si>
    <t>1,02289</t>
  </si>
  <si>
    <t>5,80</t>
  </si>
  <si>
    <t>5,92</t>
  </si>
  <si>
    <t>5,69</t>
  </si>
  <si>
    <t>1,04336</t>
  </si>
  <si>
    <t>10,80</t>
  </si>
  <si>
    <t>11,25</t>
  </si>
  <si>
    <t>10,82</t>
  </si>
  <si>
    <t>1,06456</t>
  </si>
  <si>
    <t>15,80</t>
  </si>
  <si>
    <t>16,79</t>
  </si>
  <si>
    <t>16,15</t>
  </si>
  <si>
    <t>1,00351</t>
  </si>
  <si>
    <t>0,90</t>
  </si>
  <si>
    <t>0,86</t>
  </si>
  <si>
    <t>1,02329</t>
  </si>
  <si>
    <t>5,90</t>
  </si>
  <si>
    <t>6,03</t>
  </si>
  <si>
    <t>1,04377</t>
  </si>
  <si>
    <t>10,90</t>
  </si>
  <si>
    <t>11,36</t>
  </si>
  <si>
    <t>1,06499</t>
  </si>
  <si>
    <t>15,90</t>
  </si>
  <si>
    <t>16,90</t>
  </si>
  <si>
    <t>16,26</t>
  </si>
  <si>
    <t>1,00390</t>
  </si>
  <si>
    <t>1,00</t>
  </si>
  <si>
    <t>0,96</t>
  </si>
  <si>
    <t>1,02370</t>
  </si>
  <si>
    <t>6,00</t>
  </si>
  <si>
    <t>6,13</t>
  </si>
  <si>
    <t>5,89</t>
  </si>
  <si>
    <t>1,04419</t>
  </si>
  <si>
    <t>11,00</t>
  </si>
  <si>
    <t>11,47</t>
  </si>
  <si>
    <t>1,06542</t>
  </si>
  <si>
    <t>17,02</t>
  </si>
  <si>
    <t>16,37</t>
  </si>
  <si>
    <t>1,00429</t>
  </si>
  <si>
    <t>1,10</t>
  </si>
  <si>
    <t>1,06</t>
  </si>
  <si>
    <t>1,02410</t>
  </si>
  <si>
    <t>6,10</t>
  </si>
  <si>
    <t>6,24</t>
  </si>
  <si>
    <t>1,04460</t>
  </si>
  <si>
    <t>11,10</t>
  </si>
  <si>
    <t>11,57</t>
  </si>
  <si>
    <t>11,13</t>
  </si>
  <si>
    <t>1,06586</t>
  </si>
  <si>
    <t>16,10</t>
  </si>
  <si>
    <t>17,13</t>
  </si>
  <si>
    <t>16,47</t>
  </si>
  <si>
    <t>1,00468</t>
  </si>
  <si>
    <t>1,20</t>
  </si>
  <si>
    <t>1,16</t>
  </si>
  <si>
    <t>1,02450</t>
  </si>
  <si>
    <t>6,20</t>
  </si>
  <si>
    <t>6,34</t>
  </si>
  <si>
    <t>1,04502</t>
  </si>
  <si>
    <t>11,20</t>
  </si>
  <si>
    <t>11,68</t>
  </si>
  <si>
    <t>11,24</t>
  </si>
  <si>
    <t>1,06629</t>
  </si>
  <si>
    <t>16,20</t>
  </si>
  <si>
    <t>17,24</t>
  </si>
  <si>
    <t>16,59</t>
  </si>
  <si>
    <t>1,00508</t>
  </si>
  <si>
    <t>1,30</t>
  </si>
  <si>
    <t>1,26</t>
  </si>
  <si>
    <t>1,02490</t>
  </si>
  <si>
    <t>6,30</t>
  </si>
  <si>
    <t>6,45</t>
  </si>
  <si>
    <t>1,04545</t>
  </si>
  <si>
    <t>11,30</t>
  </si>
  <si>
    <t>11,79</t>
  </si>
  <si>
    <t>11,34</t>
  </si>
  <si>
    <t>1,06673</t>
  </si>
  <si>
    <t>16,30</t>
  </si>
  <si>
    <t>17,36</t>
  </si>
  <si>
    <t>16,69</t>
  </si>
  <si>
    <t>1,00547</t>
  </si>
  <si>
    <t>1,40</t>
  </si>
  <si>
    <t>1,41</t>
  </si>
  <si>
    <t>1,35</t>
  </si>
  <si>
    <t>1,02531</t>
  </si>
  <si>
    <t>6,40</t>
  </si>
  <si>
    <t>6,55</t>
  </si>
  <si>
    <t>1,04586</t>
  </si>
  <si>
    <t>11,40</t>
  </si>
  <si>
    <t>11,90</t>
  </si>
  <si>
    <t>11,44</t>
  </si>
  <si>
    <t>1,06716</t>
  </si>
  <si>
    <t>16,40</t>
  </si>
  <si>
    <t>17,47</t>
  </si>
  <si>
    <t>16,80</t>
  </si>
  <si>
    <t>1,00585</t>
  </si>
  <si>
    <t>1,50</t>
  </si>
  <si>
    <t>1,51</t>
  </si>
  <si>
    <t>1,45</t>
  </si>
  <si>
    <t>1,02572</t>
  </si>
  <si>
    <t>6,50</t>
  </si>
  <si>
    <t>6,66</t>
  </si>
  <si>
    <t>1,04628</t>
  </si>
  <si>
    <t>11,50</t>
  </si>
  <si>
    <t>12,01</t>
  </si>
  <si>
    <t>11,55</t>
  </si>
  <si>
    <t>1,06759</t>
  </si>
  <si>
    <t>16,50</t>
  </si>
  <si>
    <t>17,58</t>
  </si>
  <si>
    <t>16,92</t>
  </si>
  <si>
    <t>1,00624</t>
  </si>
  <si>
    <t>1,60</t>
  </si>
  <si>
    <t>1,61</t>
  </si>
  <si>
    <t>1,55</t>
  </si>
  <si>
    <t>1,02612</t>
  </si>
  <si>
    <t>6,60</t>
  </si>
  <si>
    <t>6,76</t>
  </si>
  <si>
    <t>1,04670</t>
  </si>
  <si>
    <t>11,60</t>
  </si>
  <si>
    <t>12,12</t>
  </si>
  <si>
    <t>11,65</t>
  </si>
  <si>
    <t>1,06802</t>
  </si>
  <si>
    <t>16,60</t>
  </si>
  <si>
    <t>17,70</t>
  </si>
  <si>
    <t>1,00663</t>
  </si>
  <si>
    <t>1,70</t>
  </si>
  <si>
    <t>1,71</t>
  </si>
  <si>
    <t>1,64</t>
  </si>
  <si>
    <t>1,02652</t>
  </si>
  <si>
    <t>6,70</t>
  </si>
  <si>
    <t>6,87</t>
  </si>
  <si>
    <t>1,04712</t>
  </si>
  <si>
    <t>11,70</t>
  </si>
  <si>
    <t>12,23</t>
  </si>
  <si>
    <t>11,76</t>
  </si>
  <si>
    <t>1,06846</t>
  </si>
  <si>
    <t>16,70</t>
  </si>
  <si>
    <t>17,81</t>
  </si>
  <si>
    <t>1,00702</t>
  </si>
  <si>
    <t>1,80</t>
  </si>
  <si>
    <t>1,81</t>
  </si>
  <si>
    <t>1,74</t>
  </si>
  <si>
    <t>1,02693</t>
  </si>
  <si>
    <t>6,80</t>
  </si>
  <si>
    <t>6,97</t>
  </si>
  <si>
    <t>1,04754</t>
  </si>
  <si>
    <t>11,80</t>
  </si>
  <si>
    <t>12,34</t>
  </si>
  <si>
    <t>11,87</t>
  </si>
  <si>
    <t>1,06890</t>
  </si>
  <si>
    <t>17,92</t>
  </si>
  <si>
    <t>1,00741</t>
  </si>
  <si>
    <t>1,90</t>
  </si>
  <si>
    <t>1,91</t>
  </si>
  <si>
    <t>1,83</t>
  </si>
  <si>
    <t>1,02733</t>
  </si>
  <si>
    <t>6,90</t>
  </si>
  <si>
    <t>7,08</t>
  </si>
  <si>
    <t>6,81</t>
  </si>
  <si>
    <t>1,04795</t>
  </si>
  <si>
    <t>12,45</t>
  </si>
  <si>
    <t>11,97</t>
  </si>
  <si>
    <t>1,06934</t>
  </si>
  <si>
    <t>18,04</t>
  </si>
  <si>
    <t>17,35</t>
  </si>
  <si>
    <t>1,00781</t>
  </si>
  <si>
    <t>2,00</t>
  </si>
  <si>
    <t>2,01</t>
  </si>
  <si>
    <t>1,94</t>
  </si>
  <si>
    <t>1,02774</t>
  </si>
  <si>
    <t>7,00</t>
  </si>
  <si>
    <t>7,18</t>
  </si>
  <si>
    <t>6,91</t>
  </si>
  <si>
    <t>1,04837</t>
  </si>
  <si>
    <t>12,00</t>
  </si>
  <si>
    <t>12,56</t>
  </si>
  <si>
    <t>12,08</t>
  </si>
  <si>
    <t>1,06977</t>
  </si>
  <si>
    <t>17,00</t>
  </si>
  <si>
    <t>18,15</t>
  </si>
  <si>
    <t>17,46</t>
  </si>
  <si>
    <t>1,00820</t>
  </si>
  <si>
    <t>2,10</t>
  </si>
  <si>
    <t>2,11</t>
  </si>
  <si>
    <t>2,04</t>
  </si>
  <si>
    <t>1,02814</t>
  </si>
  <si>
    <t>7,10</t>
  </si>
  <si>
    <t>7,29</t>
  </si>
  <si>
    <t>7,01</t>
  </si>
  <si>
    <t>1,04880</t>
  </si>
  <si>
    <t>12,10</t>
  </si>
  <si>
    <t>12,67</t>
  </si>
  <si>
    <t>12,18</t>
  </si>
  <si>
    <t>1,07020</t>
  </si>
  <si>
    <t>17,10</t>
  </si>
  <si>
    <t>18,27</t>
  </si>
  <si>
    <t>17,57</t>
  </si>
  <si>
    <t>1,00860</t>
  </si>
  <si>
    <t>2,20</t>
  </si>
  <si>
    <t>2,21</t>
  </si>
  <si>
    <t>2,13</t>
  </si>
  <si>
    <t>1,02855</t>
  </si>
  <si>
    <t>7,20</t>
  </si>
  <si>
    <t>7,39</t>
  </si>
  <si>
    <t>7,11</t>
  </si>
  <si>
    <t>1,04922</t>
  </si>
  <si>
    <t>12,20</t>
  </si>
  <si>
    <t>12,78</t>
  </si>
  <si>
    <t>12,29</t>
  </si>
  <si>
    <t>1,07064</t>
  </si>
  <si>
    <t>17,20</t>
  </si>
  <si>
    <t>18,38</t>
  </si>
  <si>
    <t>17,68</t>
  </si>
  <si>
    <t>1,00899</t>
  </si>
  <si>
    <t>2,30</t>
  </si>
  <si>
    <t>2,32</t>
  </si>
  <si>
    <t>2,23</t>
  </si>
  <si>
    <t>1,02896</t>
  </si>
  <si>
    <t>7,30</t>
  </si>
  <si>
    <t>7,50</t>
  </si>
  <si>
    <t>7,21</t>
  </si>
  <si>
    <t>1,04964</t>
  </si>
  <si>
    <t>12,30</t>
  </si>
  <si>
    <t>12,89</t>
  </si>
  <si>
    <t>12,39</t>
  </si>
  <si>
    <t>1,07107</t>
  </si>
  <si>
    <t>17,30</t>
  </si>
  <si>
    <t>18,50</t>
  </si>
  <si>
    <t>17,79</t>
  </si>
  <si>
    <t>1,00938</t>
  </si>
  <si>
    <t>2,40</t>
  </si>
  <si>
    <t>2,42</t>
  </si>
  <si>
    <t>2,33</t>
  </si>
  <si>
    <t>1,02936</t>
  </si>
  <si>
    <t>7,40</t>
  </si>
  <si>
    <t>7,60</t>
  </si>
  <si>
    <t>7,32</t>
  </si>
  <si>
    <t>1,05006</t>
  </si>
  <si>
    <t>12,40</t>
  </si>
  <si>
    <t>13,00</t>
  </si>
  <si>
    <t>12,50</t>
  </si>
  <si>
    <t>1,07151</t>
  </si>
  <si>
    <t>17,40</t>
  </si>
  <si>
    <t>18,61</t>
  </si>
  <si>
    <t>17,90</t>
  </si>
  <si>
    <t>1,00977</t>
  </si>
  <si>
    <t>2,50</t>
  </si>
  <si>
    <t>2,52</t>
  </si>
  <si>
    <t>1,02977</t>
  </si>
  <si>
    <t>7,71</t>
  </si>
  <si>
    <t>7,41</t>
  </si>
  <si>
    <t>1,05048</t>
  </si>
  <si>
    <t>13,11</t>
  </si>
  <si>
    <t>12,60</t>
  </si>
  <si>
    <t>1,07194</t>
  </si>
  <si>
    <t>17,50</t>
  </si>
  <si>
    <t>18,72</t>
  </si>
  <si>
    <t>18,01</t>
  </si>
  <si>
    <t>1,01016</t>
  </si>
  <si>
    <t>2,60</t>
  </si>
  <si>
    <t>2,62</t>
  </si>
  <si>
    <t>1,03018</t>
  </si>
  <si>
    <t>7,82</t>
  </si>
  <si>
    <t>7,52</t>
  </si>
  <si>
    <t>1,05090</t>
  </si>
  <si>
    <t>13,22</t>
  </si>
  <si>
    <t>12,71</t>
  </si>
  <si>
    <t>1,07239</t>
  </si>
  <si>
    <t>17,60</t>
  </si>
  <si>
    <t>18,84</t>
  </si>
  <si>
    <t>18,12</t>
  </si>
  <si>
    <t>1,01056</t>
  </si>
  <si>
    <t>2,70</t>
  </si>
  <si>
    <t>2,72</t>
  </si>
  <si>
    <t>1,03058</t>
  </si>
  <si>
    <t>7,70</t>
  </si>
  <si>
    <t>7,92</t>
  </si>
  <si>
    <t>7,62</t>
  </si>
  <si>
    <t>1,05132</t>
  </si>
  <si>
    <t>12,70</t>
  </si>
  <si>
    <t>13,33</t>
  </si>
  <si>
    <t>12,82</t>
  </si>
  <si>
    <t>1,07283</t>
  </si>
  <si>
    <t>18,95</t>
  </si>
  <si>
    <t>18,23</t>
  </si>
  <si>
    <t>1,01095</t>
  </si>
  <si>
    <t>2,80</t>
  </si>
  <si>
    <t>2,83</t>
  </si>
  <si>
    <t>1,03099</t>
  </si>
  <si>
    <t>7,80</t>
  </si>
  <si>
    <t>8,03</t>
  </si>
  <si>
    <t>7,72</t>
  </si>
  <si>
    <t>1,05174</t>
  </si>
  <si>
    <t>12,80</t>
  </si>
  <si>
    <t>13,44</t>
  </si>
  <si>
    <t>12,92</t>
  </si>
  <si>
    <t>1,07326</t>
  </si>
  <si>
    <t>17,80</t>
  </si>
  <si>
    <t>19,07</t>
  </si>
  <si>
    <t>18,34</t>
  </si>
  <si>
    <t>1,01134</t>
  </si>
  <si>
    <t>2,90</t>
  </si>
  <si>
    <t>2,93</t>
  </si>
  <si>
    <t>2,81</t>
  </si>
  <si>
    <t>1,03140</t>
  </si>
  <si>
    <t>7,90</t>
  </si>
  <si>
    <t>8,13</t>
  </si>
  <si>
    <t>1,05217</t>
  </si>
  <si>
    <t>12,90</t>
  </si>
  <si>
    <t>13,55</t>
  </si>
  <si>
    <t>13,03</t>
  </si>
  <si>
    <t>1,07370</t>
  </si>
  <si>
    <t>19,18</t>
  </si>
  <si>
    <t>18,45</t>
  </si>
  <si>
    <t>1,01173</t>
  </si>
  <si>
    <t>3,00</t>
  </si>
  <si>
    <t>3,03</t>
  </si>
  <si>
    <t>2,91</t>
  </si>
  <si>
    <t>1,03180</t>
  </si>
  <si>
    <t>8,00</t>
  </si>
  <si>
    <t>8,24</t>
  </si>
  <si>
    <t>1,05260</t>
  </si>
  <si>
    <t>13,66</t>
  </si>
  <si>
    <t>13,13</t>
  </si>
  <si>
    <t>1,07414</t>
  </si>
  <si>
    <t>18,00</t>
  </si>
  <si>
    <t>19,30</t>
  </si>
  <si>
    <t>18,56</t>
  </si>
  <si>
    <t>1,01214</t>
  </si>
  <si>
    <t>3,10</t>
  </si>
  <si>
    <t>3,13</t>
  </si>
  <si>
    <t>3,01</t>
  </si>
  <si>
    <t>1,03222</t>
  </si>
  <si>
    <t>8,10</t>
  </si>
  <si>
    <t>8,35</t>
  </si>
  <si>
    <t>1,05302</t>
  </si>
  <si>
    <t>13,10</t>
  </si>
  <si>
    <t>13,77</t>
  </si>
  <si>
    <t>13,25</t>
  </si>
  <si>
    <t>1,07458</t>
  </si>
  <si>
    <t>18,10</t>
  </si>
  <si>
    <t>19,41</t>
  </si>
  <si>
    <t>18,67</t>
  </si>
  <si>
    <t>1,01253</t>
  </si>
  <si>
    <t>3,20</t>
  </si>
  <si>
    <t>3,23</t>
  </si>
  <si>
    <t>3,11</t>
  </si>
  <si>
    <t>1,03263</t>
  </si>
  <si>
    <t>8,20</t>
  </si>
  <si>
    <t>8,45</t>
  </si>
  <si>
    <t>1,05344</t>
  </si>
  <si>
    <t>13,20</t>
  </si>
  <si>
    <t>13,88</t>
  </si>
  <si>
    <t>13,35</t>
  </si>
  <si>
    <t>1,07501</t>
  </si>
  <si>
    <t>18,20</t>
  </si>
  <si>
    <t>19,53</t>
  </si>
  <si>
    <t>18,79</t>
  </si>
  <si>
    <t>1,01293</t>
  </si>
  <si>
    <t>3,30</t>
  </si>
  <si>
    <t>3,34</t>
  </si>
  <si>
    <t>3,21</t>
  </si>
  <si>
    <t>1,03304</t>
  </si>
  <si>
    <t>8,30</t>
  </si>
  <si>
    <t>8,56</t>
  </si>
  <si>
    <t>8,23</t>
  </si>
  <si>
    <t>1,05386</t>
  </si>
  <si>
    <t>13,30</t>
  </si>
  <si>
    <t>13,99</t>
  </si>
  <si>
    <t>13,46</t>
  </si>
  <si>
    <t>1,07545</t>
  </si>
  <si>
    <t>18,30</t>
  </si>
  <si>
    <t>19,64</t>
  </si>
  <si>
    <t>18,89</t>
  </si>
  <si>
    <t>1,01332</t>
  </si>
  <si>
    <t>3,40</t>
  </si>
  <si>
    <t>3,44</t>
  </si>
  <si>
    <t>3,31</t>
  </si>
  <si>
    <t>1,03344</t>
  </si>
  <si>
    <t>8,40</t>
  </si>
  <si>
    <t>8,67</t>
  </si>
  <si>
    <t>8,33</t>
  </si>
  <si>
    <t>1,05429</t>
  </si>
  <si>
    <t>13,40</t>
  </si>
  <si>
    <t>14,10</t>
  </si>
  <si>
    <t>13,56</t>
  </si>
  <si>
    <t>1,07590</t>
  </si>
  <si>
    <t>18,40</t>
  </si>
  <si>
    <t>19,76</t>
  </si>
  <si>
    <t>19,01</t>
  </si>
  <si>
    <t>1,01371</t>
  </si>
  <si>
    <t>3,50</t>
  </si>
  <si>
    <t>3,54</t>
  </si>
  <si>
    <t>3,41</t>
  </si>
  <si>
    <t>1,03385</t>
  </si>
  <si>
    <t>8,50</t>
  </si>
  <si>
    <t>8,77</t>
  </si>
  <si>
    <t>8,44</t>
  </si>
  <si>
    <t>1,05471</t>
  </si>
  <si>
    <t>13,50</t>
  </si>
  <si>
    <t>14,21</t>
  </si>
  <si>
    <t>13,67</t>
  </si>
  <si>
    <t>1,07634</t>
  </si>
  <si>
    <t>19,88</t>
  </si>
  <si>
    <t>19,11</t>
  </si>
  <si>
    <t>1,01411</t>
  </si>
  <si>
    <t>3,60</t>
  </si>
  <si>
    <t>3,64</t>
  </si>
  <si>
    <t>1,03426</t>
  </si>
  <si>
    <t>8,60</t>
  </si>
  <si>
    <t>8,88</t>
  </si>
  <si>
    <t>8,54</t>
  </si>
  <si>
    <t>1,05513</t>
  </si>
  <si>
    <t>13,60</t>
  </si>
  <si>
    <t>14,32</t>
  </si>
  <si>
    <t>13,78</t>
  </si>
  <si>
    <t>1,07678</t>
  </si>
  <si>
    <t>18,60</t>
  </si>
  <si>
    <t>19,99</t>
  </si>
  <si>
    <t>19,23</t>
  </si>
  <si>
    <t>1,01450</t>
  </si>
  <si>
    <t>3,70</t>
  </si>
  <si>
    <t>3,75</t>
  </si>
  <si>
    <t>1,03467</t>
  </si>
  <si>
    <t>8,70</t>
  </si>
  <si>
    <t>8,99</t>
  </si>
  <si>
    <t>8,64</t>
  </si>
  <si>
    <t>1,05557</t>
  </si>
  <si>
    <t>13,70</t>
  </si>
  <si>
    <t>14,43</t>
  </si>
  <si>
    <t>1,07722</t>
  </si>
  <si>
    <t>18,70</t>
  </si>
  <si>
    <t>20,11</t>
  </si>
  <si>
    <t>19,34</t>
  </si>
  <si>
    <t>1,01490</t>
  </si>
  <si>
    <t>3,80</t>
  </si>
  <si>
    <t>3,85</t>
  </si>
  <si>
    <t>3,71</t>
  </si>
  <si>
    <t>1,03508</t>
  </si>
  <si>
    <t>8,80</t>
  </si>
  <si>
    <t>9,09</t>
  </si>
  <si>
    <t>8,75</t>
  </si>
  <si>
    <t>1,05599</t>
  </si>
  <si>
    <t>13,80</t>
  </si>
  <si>
    <t>14,55</t>
  </si>
  <si>
    <t>1,07766</t>
  </si>
  <si>
    <t>18,80</t>
  </si>
  <si>
    <t>20,22</t>
  </si>
  <si>
    <t>19,45</t>
  </si>
  <si>
    <t>1,01531</t>
  </si>
  <si>
    <t>3,90</t>
  </si>
  <si>
    <t>3,95</t>
  </si>
  <si>
    <t>1,03550</t>
  </si>
  <si>
    <t>8,90</t>
  </si>
  <si>
    <t>9,20</t>
  </si>
  <si>
    <t>8,85</t>
  </si>
  <si>
    <t>1,05642</t>
  </si>
  <si>
    <t>13,90</t>
  </si>
  <si>
    <t>14,66</t>
  </si>
  <si>
    <t>1,07810</t>
  </si>
  <si>
    <t>18,90</t>
  </si>
  <si>
    <t>20,34</t>
  </si>
  <si>
    <t>19,57</t>
  </si>
  <si>
    <t>1,01570</t>
  </si>
  <si>
    <t>4,00</t>
  </si>
  <si>
    <t>4,06</t>
  </si>
  <si>
    <t>1,03591</t>
  </si>
  <si>
    <t>9,00</t>
  </si>
  <si>
    <t>9,31</t>
  </si>
  <si>
    <t>8,95</t>
  </si>
  <si>
    <t>1,05684</t>
  </si>
  <si>
    <t>14,00</t>
  </si>
  <si>
    <t>14,77</t>
  </si>
  <si>
    <t>1,07854</t>
  </si>
  <si>
    <t>19,00</t>
  </si>
  <si>
    <t>20,45</t>
  </si>
  <si>
    <t>19,67</t>
  </si>
  <si>
    <t>1,01610</t>
  </si>
  <si>
    <t>4,10</t>
  </si>
  <si>
    <t>4,16</t>
  </si>
  <si>
    <t>1,03632</t>
  </si>
  <si>
    <t>9,10</t>
  </si>
  <si>
    <t>9,41</t>
  </si>
  <si>
    <t>9,05</t>
  </si>
  <si>
    <t>1,05727</t>
  </si>
  <si>
    <t>14,88</t>
  </si>
  <si>
    <t>14,31</t>
  </si>
  <si>
    <t>1,07899</t>
  </si>
  <si>
    <t>19,10</t>
  </si>
  <si>
    <t>20,57</t>
  </si>
  <si>
    <t>19,79</t>
  </si>
  <si>
    <t>1,01649</t>
  </si>
  <si>
    <t>4,20</t>
  </si>
  <si>
    <t>4,26</t>
  </si>
  <si>
    <t>1,03673</t>
  </si>
  <si>
    <t>9,52</t>
  </si>
  <si>
    <t>9,16</t>
  </si>
  <si>
    <t>1,05769</t>
  </si>
  <si>
    <t>14,20</t>
  </si>
  <si>
    <t>14,99</t>
  </si>
  <si>
    <t>14,42</t>
  </si>
  <si>
    <t>1,07943</t>
  </si>
  <si>
    <t>19,20</t>
  </si>
  <si>
    <t>20,69</t>
  </si>
  <si>
    <t>19,90</t>
  </si>
  <si>
    <t>1,01689</t>
  </si>
  <si>
    <t>4,30</t>
  </si>
  <si>
    <t>4,36</t>
  </si>
  <si>
    <t>1,03714</t>
  </si>
  <si>
    <t>9,30</t>
  </si>
  <si>
    <t>9,63</t>
  </si>
  <si>
    <t>9,26</t>
  </si>
  <si>
    <t>1,05812</t>
  </si>
  <si>
    <t>14,30</t>
  </si>
  <si>
    <t>14,52</t>
  </si>
  <si>
    <t>1,07987</t>
  </si>
  <si>
    <t>20,80</t>
  </si>
  <si>
    <t>20,01</t>
  </si>
  <si>
    <t>1,01729</t>
  </si>
  <si>
    <t>4,40</t>
  </si>
  <si>
    <t>4,47</t>
  </si>
  <si>
    <t>1,03755</t>
  </si>
  <si>
    <t>9,40</t>
  </si>
  <si>
    <t>9,74</t>
  </si>
  <si>
    <t>9,36</t>
  </si>
  <si>
    <t>1,05854</t>
  </si>
  <si>
    <t>14,40</t>
  </si>
  <si>
    <t>15,22</t>
  </si>
  <si>
    <t>14,62</t>
  </si>
  <si>
    <t>1,08031</t>
  </si>
  <si>
    <t>19,40</t>
  </si>
  <si>
    <t>20,92</t>
  </si>
  <si>
    <t>20,12</t>
  </si>
  <si>
    <t>1,01768</t>
  </si>
  <si>
    <t>4,50</t>
  </si>
  <si>
    <t>4,57</t>
  </si>
  <si>
    <t>1,03796</t>
  </si>
  <si>
    <t>9,50</t>
  </si>
  <si>
    <t>9,84</t>
  </si>
  <si>
    <t>9,47</t>
  </si>
  <si>
    <t>1,05898</t>
  </si>
  <si>
    <t>14,50</t>
  </si>
  <si>
    <t>15,33</t>
  </si>
  <si>
    <t>14,74</t>
  </si>
  <si>
    <t>1,08075</t>
  </si>
  <si>
    <t>19,50</t>
  </si>
  <si>
    <t>21,04</t>
  </si>
  <si>
    <t>20,23</t>
  </si>
  <si>
    <t>1,01808</t>
  </si>
  <si>
    <t>4,60</t>
  </si>
  <si>
    <t>4,67</t>
  </si>
  <si>
    <t>4,49</t>
  </si>
  <si>
    <t>1,03837</t>
  </si>
  <si>
    <t>9,60</t>
  </si>
  <si>
    <t>9,95</t>
  </si>
  <si>
    <t>9,57</t>
  </si>
  <si>
    <t>1,05941</t>
  </si>
  <si>
    <t>14,60</t>
  </si>
  <si>
    <t>15,44</t>
  </si>
  <si>
    <t>14,85</t>
  </si>
  <si>
    <t>1,08120</t>
  </si>
  <si>
    <t>19,60</t>
  </si>
  <si>
    <t>21,15</t>
  </si>
  <si>
    <t>1,01849</t>
  </si>
  <si>
    <t>4,70</t>
  </si>
  <si>
    <t>4,78</t>
  </si>
  <si>
    <t>1,03880</t>
  </si>
  <si>
    <t>9,70</t>
  </si>
  <si>
    <t>10,06</t>
  </si>
  <si>
    <t>9,68</t>
  </si>
  <si>
    <t>1,05983</t>
  </si>
  <si>
    <t>14,70</t>
  </si>
  <si>
    <t>15,55</t>
  </si>
  <si>
    <t>14,96</t>
  </si>
  <si>
    <t>1,08164</t>
  </si>
  <si>
    <t>19,70</t>
  </si>
  <si>
    <t>21,27</t>
  </si>
  <si>
    <t>20,46</t>
  </si>
  <si>
    <t>1,01889</t>
  </si>
  <si>
    <t>4,80</t>
  </si>
  <si>
    <t>4,88</t>
  </si>
  <si>
    <t>4,69</t>
  </si>
  <si>
    <t>1,03921</t>
  </si>
  <si>
    <t>9,80</t>
  </si>
  <si>
    <t>10,17</t>
  </si>
  <si>
    <t>9,78</t>
  </si>
  <si>
    <t>1,06026</t>
  </si>
  <si>
    <t>14,80</t>
  </si>
  <si>
    <t>15,66</t>
  </si>
  <si>
    <t>15,06</t>
  </si>
  <si>
    <t>1,08208</t>
  </si>
  <si>
    <t>19,80</t>
  </si>
  <si>
    <t>21,39</t>
  </si>
  <si>
    <t>1,01929</t>
  </si>
  <si>
    <t>4,79</t>
  </si>
  <si>
    <t>1,03962</t>
  </si>
  <si>
    <t>9,90</t>
  </si>
  <si>
    <t>10,27</t>
  </si>
  <si>
    <t>9,88</t>
  </si>
  <si>
    <t>1,06069</t>
  </si>
  <si>
    <t>14,90</t>
  </si>
  <si>
    <t>15,78</t>
  </si>
  <si>
    <t>15,17</t>
  </si>
  <si>
    <t>1,08254</t>
  </si>
  <si>
    <t>21,50</t>
  </si>
  <si>
    <t>20,68</t>
  </si>
  <si>
    <t>Nach: Wolfgang Kunze: „Technologie für Brauer und Mälzer“, Fachbuchverlag Leipzig, 1962, S. 260f</t>
  </si>
  <si>
    <r>
      <t>SG (S</t>
    </r>
    <r>
      <rPr>
        <vertAlign val="subscript"/>
        <sz val="10"/>
        <color theme="1"/>
        <rFont val="Calibri"/>
        <family val="2"/>
      </rPr>
      <t>L20/20</t>
    </r>
    <r>
      <rPr>
        <sz val="10"/>
        <color theme="1"/>
        <rFont val="Calibri"/>
        <family val="2"/>
      </rPr>
      <t>)</t>
    </r>
  </si>
  <si>
    <r>
      <t>%</t>
    </r>
    <r>
      <rPr>
        <vertAlign val="subscript"/>
        <sz val="10"/>
        <color theme="1"/>
        <rFont val="Calibri"/>
        <family val="2"/>
      </rPr>
      <t>gew</t>
    </r>
    <r>
      <rPr>
        <sz val="10"/>
        <color theme="1"/>
        <rFont val="Calibri"/>
        <family val="2"/>
      </rPr>
      <t xml:space="preserve"> </t>
    </r>
  </si>
  <si>
    <r>
      <t>%</t>
    </r>
    <r>
      <rPr>
        <vertAlign val="subscript"/>
        <sz val="10"/>
        <color theme="1"/>
        <rFont val="Calibri"/>
        <family val="2"/>
      </rPr>
      <t>vol</t>
    </r>
    <r>
      <rPr>
        <sz val="10"/>
        <color theme="1"/>
        <rFont val="Calibri"/>
        <family val="2"/>
      </rPr>
      <t xml:space="preserve"> </t>
    </r>
  </si>
  <si>
    <r>
      <t>%</t>
    </r>
    <r>
      <rPr>
        <b/>
        <vertAlign val="subscript"/>
        <sz val="10"/>
        <color theme="1"/>
        <rFont val="Calibri"/>
        <family val="2"/>
      </rPr>
      <t>gew</t>
    </r>
  </si>
  <si>
    <r>
      <t>%</t>
    </r>
    <r>
      <rPr>
        <b/>
        <vertAlign val="subscript"/>
        <sz val="10"/>
        <color theme="1"/>
        <rFont val="Calibri"/>
        <family val="2"/>
      </rPr>
      <t>vol</t>
    </r>
  </si>
  <si>
    <t>Tabellen</t>
  </si>
  <si>
    <t>scheinbarer Restextrakt im Jungbier</t>
  </si>
  <si>
    <t>scheinbarer Endvergärungsgrad</t>
  </si>
  <si>
    <t>Restextrakt ohne Alkohol</t>
  </si>
  <si>
    <t>Alkohol Gewicht %</t>
  </si>
  <si>
    <t>Menge Jungbier</t>
  </si>
  <si>
    <t>Berechnete Wasserhärte</t>
  </si>
  <si>
    <t>Umrechnung in mmol/l  (°fH/10)</t>
  </si>
  <si>
    <t>Carbonathärte (pH*2,8)</t>
  </si>
  <si>
    <t>Calziumhärte (Ca*0,14)</t>
  </si>
  <si>
    <t>Magnesiumhärte (Mg*0.23)</t>
  </si>
  <si>
    <t>Alkohol % vol.</t>
  </si>
  <si>
    <r>
      <t xml:space="preserve">Alkoholgehalt </t>
    </r>
    <r>
      <rPr>
        <sz val="12"/>
        <rFont val="Calibri"/>
        <family val="2"/>
      </rPr>
      <t>(nach Hanghofer)</t>
    </r>
  </si>
  <si>
    <t xml:space="preserve">Messung Restextrakt </t>
  </si>
  <si>
    <t>Vor der Speisezugabe</t>
  </si>
  <si>
    <t>Abschlauchen/Abfüllen</t>
  </si>
  <si>
    <t>Abhängig von Karbonisierung</t>
  </si>
  <si>
    <t>Kochzeit</t>
  </si>
  <si>
    <t>10 Min nach Rastbeginn</t>
  </si>
  <si>
    <t>pH Messung Ziel 5.4 - 5.5</t>
  </si>
  <si>
    <t>Formulare zur Berechnung des Bieres sowie Protokoll</t>
  </si>
  <si>
    <t>Extraktgehalt der Speise, Plato (aus Protokoll)</t>
  </si>
  <si>
    <t>Dichte - Zielwert</t>
  </si>
  <si>
    <t>Erforderliche Extraktmenge</t>
  </si>
  <si>
    <t>Summe der Extraktgehalte aus Malzsorten (brutto)</t>
  </si>
  <si>
    <t>Tatsächlicher Extraktgehalt (% Sudhaus-Ausbeute)</t>
  </si>
  <si>
    <t>Verluste durch Verdampfung (Maische+Würzekochen)</t>
  </si>
  <si>
    <t>Gasbrenner und Brennerleistung</t>
  </si>
  <si>
    <t>Aufheizzeit in Minuten (Wasser von 8 Grad C auf 100 Grad C)</t>
  </si>
  <si>
    <t>Wassermenge</t>
  </si>
  <si>
    <t>Brennerleistung in kW</t>
  </si>
  <si>
    <t>Wassermenge zum Einmaischen (Hauptguss)</t>
  </si>
  <si>
    <t>Anschwänzwasser (Nachguss)</t>
  </si>
  <si>
    <t>Verlust Hopfentrub</t>
  </si>
  <si>
    <t>benötigte Wassermenge vor den Würzekochen</t>
  </si>
  <si>
    <t>Brutto (Wasserbedarf)</t>
  </si>
  <si>
    <t>Flüssigkeitsverlust Hefesatz</t>
  </si>
  <si>
    <t>Dichte 20/4</t>
  </si>
  <si>
    <t>Spezifisches Gewicht SG 20/20</t>
  </si>
  <si>
    <t>°Plato</t>
  </si>
  <si>
    <t>SG20/20x0.998</t>
  </si>
  <si>
    <t>°Px4</t>
  </si>
  <si>
    <t>Gravity Units °Oechsle</t>
  </si>
  <si>
    <t>°Px4x1000+1</t>
  </si>
  <si>
    <t>SG-1x1000/4</t>
  </si>
  <si>
    <r>
      <t>Umrechnungsfaktoren</t>
    </r>
    <r>
      <rPr>
        <sz val="12"/>
        <rFont val="Calibri"/>
        <family val="2"/>
      </rPr>
      <t xml:space="preserve"> (auch das sind Näherungswerte, für uns Hobbybrauer genau genug…)</t>
    </r>
  </si>
  <si>
    <t>Heisswürze</t>
  </si>
  <si>
    <t>Kontraktionsfaktor (Wärmeausdehnung)</t>
  </si>
  <si>
    <t>Extrakt GG %</t>
  </si>
  <si>
    <t>Extraktgehalt (Stammwürze)</t>
  </si>
  <si>
    <r>
      <rPr>
        <b/>
        <sz val="12"/>
        <rFont val="Calibri"/>
        <family val="2"/>
      </rPr>
      <t>Sudhausausbeute</t>
    </r>
    <r>
      <rPr>
        <sz val="12"/>
        <rFont val="Calibri"/>
        <family val="2"/>
      </rPr>
      <t xml:space="preserve"> (einfache Formel)</t>
    </r>
  </si>
  <si>
    <t>relative Dichte 20/20 SG</t>
  </si>
  <si>
    <t>relative Dichte 20/4</t>
  </si>
  <si>
    <t>Restextrakt, endvergoren (Zielwert)</t>
  </si>
  <si>
    <t>Berechnete Biermenge (Nach Vergärung)</t>
  </si>
  <si>
    <r>
      <rPr>
        <b/>
        <sz val="12"/>
        <rFont val="Calibri"/>
        <family val="2"/>
      </rPr>
      <t>Karbonisierung</t>
    </r>
    <r>
      <rPr>
        <sz val="12"/>
        <rFont val="Calibri"/>
        <family val="2"/>
      </rPr>
      <t xml:space="preserve"> </t>
    </r>
    <r>
      <rPr>
        <b/>
        <sz val="12"/>
        <rFont val="Calibri"/>
        <family val="2"/>
      </rPr>
      <t xml:space="preserve">und Speise </t>
    </r>
    <r>
      <rPr>
        <sz val="12"/>
        <rFont val="Calibri"/>
        <family val="2"/>
      </rPr>
      <t>(nach Hanghofer)</t>
    </r>
  </si>
  <si>
    <t>Eingaben und Berechnungen Anlage / Wasser</t>
  </si>
  <si>
    <t>Nachisometrierung</t>
  </si>
  <si>
    <t>ca. Wert auf Aromahopfen</t>
  </si>
  <si>
    <t xml:space="preserve">Hopfenstopfen </t>
  </si>
  <si>
    <r>
      <t xml:space="preserve">Sudhausausbeute </t>
    </r>
    <r>
      <rPr>
        <sz val="12"/>
        <rFont val="Calibri"/>
        <family val="2"/>
      </rPr>
      <t>(Amtliche Formel, nach Oli Weiss)</t>
    </r>
  </si>
  <si>
    <t>Aroma</t>
  </si>
  <si>
    <t>Verluste total</t>
  </si>
  <si>
    <t>Heisswürze (Kontraktionsfaktor bereits eingerechnet)</t>
  </si>
  <si>
    <t>(Anpassen)</t>
  </si>
  <si>
    <t>Hinterlegte Daten (Werte anpassen)</t>
  </si>
  <si>
    <t>HEX</t>
  </si>
  <si>
    <t>#FFE699</t>
  </si>
  <si>
    <t>#FFD878</t>
  </si>
  <si>
    <t>#FFCA5A</t>
  </si>
  <si>
    <t>#FFBF42</t>
  </si>
  <si>
    <t>#FBB123</t>
  </si>
  <si>
    <t>#F8A600</t>
  </si>
  <si>
    <t>#F39C00</t>
  </si>
  <si>
    <t>#EA8F00</t>
  </si>
  <si>
    <t>#E58500</t>
  </si>
  <si>
    <t>#DE7C00</t>
  </si>
  <si>
    <t>#D77200</t>
  </si>
  <si>
    <t>#CF6900</t>
  </si>
  <si>
    <t>#CB6200</t>
  </si>
  <si>
    <t>#C35900</t>
  </si>
  <si>
    <t>#BB5100</t>
  </si>
  <si>
    <t>#B54C00</t>
  </si>
  <si>
    <t>#B04500</t>
  </si>
  <si>
    <t>#A63E00</t>
  </si>
  <si>
    <t>#A13700</t>
  </si>
  <si>
    <t>#9B3200</t>
  </si>
  <si>
    <t>#952D00</t>
  </si>
  <si>
    <t>#8E2900</t>
  </si>
  <si>
    <t>#882300</t>
  </si>
  <si>
    <t>#821E00</t>
  </si>
  <si>
    <t>#7B1A00</t>
  </si>
  <si>
    <t>#771900</t>
  </si>
  <si>
    <t>#701400</t>
  </si>
  <si>
    <t>#6A0E00</t>
  </si>
  <si>
    <t>#660D00</t>
  </si>
  <si>
    <t>#5E0B00</t>
  </si>
  <si>
    <t>#5A0A02</t>
  </si>
  <si>
    <t>#560A05</t>
  </si>
  <si>
    <t>#520907</t>
  </si>
  <si>
    <t>#4C0505</t>
  </si>
  <si>
    <t>#470606</t>
  </si>
  <si>
    <t>#440607</t>
  </si>
  <si>
    <t>#3F0708</t>
  </si>
  <si>
    <t>#3B0607</t>
  </si>
  <si>
    <t>#3A070B</t>
  </si>
  <si>
    <t>#36080A</t>
  </si>
  <si>
    <t xml:space="preserve">Ahtanum </t>
  </si>
  <si>
    <t xml:space="preserve">Amarillo </t>
  </si>
  <si>
    <t xml:space="preserve">Aramis </t>
  </si>
  <si>
    <t xml:space="preserve">Archer </t>
  </si>
  <si>
    <t xml:space="preserve">Ariana </t>
  </si>
  <si>
    <t xml:space="preserve">Aurora </t>
  </si>
  <si>
    <t xml:space="preserve">Boadicea </t>
  </si>
  <si>
    <t xml:space="preserve">Bobek </t>
  </si>
  <si>
    <t xml:space="preserve">Bramling Cross </t>
  </si>
  <si>
    <t xml:space="preserve">Bravo </t>
  </si>
  <si>
    <t xml:space="preserve">Brewers Gold </t>
  </si>
  <si>
    <t xml:space="preserve">Callista </t>
  </si>
  <si>
    <t xml:space="preserve">Calypso </t>
  </si>
  <si>
    <t>Cascade Schweiz</t>
  </si>
  <si>
    <t xml:space="preserve">Cascade Hallertau </t>
  </si>
  <si>
    <t xml:space="preserve">Cascade USA </t>
  </si>
  <si>
    <t xml:space="preserve">Celeia </t>
  </si>
  <si>
    <t xml:space="preserve">Centennial </t>
  </si>
  <si>
    <t xml:space="preserve">Challenger </t>
  </si>
  <si>
    <t xml:space="preserve">Chinook </t>
  </si>
  <si>
    <t xml:space="preserve">Citra </t>
  </si>
  <si>
    <t xml:space="preserve">Cluster </t>
  </si>
  <si>
    <t xml:space="preserve">Columbus </t>
  </si>
  <si>
    <t xml:space="preserve">Comet </t>
  </si>
  <si>
    <t xml:space="preserve">Crystal </t>
  </si>
  <si>
    <t xml:space="preserve">Delta </t>
  </si>
  <si>
    <t xml:space="preserve">Denali </t>
  </si>
  <si>
    <t xml:space="preserve">Dr. Rudi </t>
  </si>
  <si>
    <t xml:space="preserve">Ekuanot </t>
  </si>
  <si>
    <t xml:space="preserve">El Dorado </t>
  </si>
  <si>
    <t xml:space="preserve">Ella </t>
  </si>
  <si>
    <t xml:space="preserve">Eureka </t>
  </si>
  <si>
    <t xml:space="preserve">First Gold </t>
  </si>
  <si>
    <t xml:space="preserve">Flyer </t>
  </si>
  <si>
    <t xml:space="preserve">Fuggles </t>
  </si>
  <si>
    <t xml:space="preserve">Galaxy </t>
  </si>
  <si>
    <t xml:space="preserve">Galena </t>
  </si>
  <si>
    <t>Glacier</t>
  </si>
  <si>
    <t xml:space="preserve">Goldings East Kent </t>
  </si>
  <si>
    <t xml:space="preserve">Green Bullet </t>
  </si>
  <si>
    <t xml:space="preserve">Hallertau Blanc </t>
  </si>
  <si>
    <t>Hallertau Blanc Schweiz</t>
  </si>
  <si>
    <t xml:space="preserve">Hallertauer mittelfrüh </t>
  </si>
  <si>
    <t xml:space="preserve">Hallertauer Tradition </t>
  </si>
  <si>
    <t xml:space="preserve">Herkules </t>
  </si>
  <si>
    <t xml:space="preserve">Hersbrucker </t>
  </si>
  <si>
    <t xml:space="preserve">Horizon </t>
  </si>
  <si>
    <t xml:space="preserve">Huell Melon </t>
  </si>
  <si>
    <t xml:space="preserve">Junga </t>
  </si>
  <si>
    <t xml:space="preserve">Lemondrop </t>
  </si>
  <si>
    <t xml:space="preserve">Liberty </t>
  </si>
  <si>
    <t xml:space="preserve">Lubelski </t>
  </si>
  <si>
    <t>Mandarina Bavaria Schweiz</t>
  </si>
  <si>
    <t xml:space="preserve">Mandarina Bavaria </t>
  </si>
  <si>
    <t xml:space="preserve">Millennium </t>
  </si>
  <si>
    <t xml:space="preserve">Minstrel </t>
  </si>
  <si>
    <t xml:space="preserve">Mosaic </t>
  </si>
  <si>
    <t xml:space="preserve">Motueka </t>
  </si>
  <si>
    <t xml:space="preserve">Mount Hood </t>
  </si>
  <si>
    <t xml:space="preserve">Nelson Sauvin </t>
  </si>
  <si>
    <t xml:space="preserve">Northdown </t>
  </si>
  <si>
    <t xml:space="preserve">Northern Brewer </t>
  </si>
  <si>
    <t xml:space="preserve">Nugget </t>
  </si>
  <si>
    <t xml:space="preserve">Opal </t>
  </si>
  <si>
    <t xml:space="preserve">Pacific Gem </t>
  </si>
  <si>
    <t xml:space="preserve">Pacific Jade </t>
  </si>
  <si>
    <t xml:space="preserve">Palisade </t>
  </si>
  <si>
    <t>Perle Schweiz</t>
  </si>
  <si>
    <t>Perle Hallertauer</t>
  </si>
  <si>
    <t xml:space="preserve">Phoenix </t>
  </si>
  <si>
    <t xml:space="preserve">Pilgrim </t>
  </si>
  <si>
    <t xml:space="preserve">Pilot </t>
  </si>
  <si>
    <t xml:space="preserve">Pioneer </t>
  </si>
  <si>
    <t xml:space="preserve">Polaris </t>
  </si>
  <si>
    <t xml:space="preserve">Progress </t>
  </si>
  <si>
    <t xml:space="preserve">Rakau </t>
  </si>
  <si>
    <t xml:space="preserve">Saazer </t>
  </si>
  <si>
    <t xml:space="preserve">Saphir </t>
  </si>
  <si>
    <t xml:space="preserve">Simcoe </t>
  </si>
  <si>
    <t xml:space="preserve">Sorachi Ace </t>
  </si>
  <si>
    <t>Spalter Select Schweiz</t>
  </si>
  <si>
    <t xml:space="preserve">Spalter Select </t>
  </si>
  <si>
    <t xml:space="preserve">Sterling </t>
  </si>
  <si>
    <t xml:space="preserve">Styrian Goldings </t>
  </si>
  <si>
    <t xml:space="preserve">Summit </t>
  </si>
  <si>
    <t xml:space="preserve">Target </t>
  </si>
  <si>
    <t xml:space="preserve">Taurus </t>
  </si>
  <si>
    <t xml:space="preserve">Tettnanger </t>
  </si>
  <si>
    <t xml:space="preserve">Tomahawk </t>
  </si>
  <si>
    <t xml:space="preserve">Topaz </t>
  </si>
  <si>
    <t xml:space="preserve">Vanguard </t>
  </si>
  <si>
    <t xml:space="preserve">Vic Secret </t>
  </si>
  <si>
    <t xml:space="preserve">Waimea </t>
  </si>
  <si>
    <t xml:space="preserve">Wakatu </t>
  </si>
  <si>
    <t xml:space="preserve">Warrior </t>
  </si>
  <si>
    <t xml:space="preserve">Willamette </t>
  </si>
  <si>
    <t xml:space="preserve">Zeus </t>
  </si>
  <si>
    <t xml:space="preserve">Zythos </t>
  </si>
  <si>
    <t>7,1</t>
  </si>
  <si>
    <t>4,9</t>
  </si>
  <si>
    <t>7,4</t>
  </si>
  <si>
    <t>Blumig, Citrus, Lemon</t>
  </si>
  <si>
    <t>Blumig, wenig Citrus</t>
  </si>
  <si>
    <t>Ale, IPA</t>
  </si>
  <si>
    <t>Ale, IPA, Lager</t>
  </si>
  <si>
    <t>Elsass</t>
  </si>
  <si>
    <t>Lager, Pils, Weizen, Belg-Ales</t>
  </si>
  <si>
    <t>mild, kräuter, würzig wenig Zitrone</t>
  </si>
  <si>
    <t>engl. Ales, Hopfenstopfen</t>
  </si>
  <si>
    <t>Blumig, Limone, Pfirsich</t>
  </si>
  <si>
    <t>fruchtig, harzig</t>
  </si>
  <si>
    <t>Ales, Lagerbiere</t>
  </si>
  <si>
    <t>Intensivduftig</t>
  </si>
  <si>
    <t>Mehrzweck</t>
  </si>
  <si>
    <t>würzig, leicht blumig</t>
  </si>
  <si>
    <t>Ales, Stout, Lager, Pils, Hopfenstopfen</t>
  </si>
  <si>
    <t>ähnlich Cascade</t>
  </si>
  <si>
    <t>fruchtig, Johannisbeere, Zitrone</t>
  </si>
  <si>
    <t>US-Ale, IPA</t>
  </si>
  <si>
    <t>Neutral</t>
  </si>
  <si>
    <t>fruchtig, süss, Waldbeeren</t>
  </si>
  <si>
    <t>intensive Frucht, Birne, Apfel, Pfirsich</t>
  </si>
  <si>
    <t>stark gehopfte Ales</t>
  </si>
  <si>
    <t xml:space="preserve">Zitrus, Grapefruit, </t>
  </si>
  <si>
    <t xml:space="preserve">Cascade China </t>
  </si>
  <si>
    <t>CHN</t>
  </si>
  <si>
    <t>SLO</t>
  </si>
  <si>
    <t>Pinie, Zitrone</t>
  </si>
  <si>
    <t>Ale, Pils, Lager, Belg-Ales</t>
  </si>
  <si>
    <t xml:space="preserve">US-Weizen, </t>
  </si>
  <si>
    <t>Zitrus, kräuterig, harzig</t>
  </si>
  <si>
    <t>Pale Ale, IPA, Bearly, Lager</t>
  </si>
  <si>
    <t>Grapefruit, Zitrus, Pinie</t>
  </si>
  <si>
    <t>US-Ales, IPA</t>
  </si>
  <si>
    <t>"Obstsalat", Limette, Mango</t>
  </si>
  <si>
    <t>Ale, Stout, Lager</t>
  </si>
  <si>
    <t>Brombeere, würzig</t>
  </si>
  <si>
    <t>IPA, Pale Ale, Stout, Lager, Barley</t>
  </si>
  <si>
    <t>Harzig, Zitrus, Pfeffer</t>
  </si>
  <si>
    <t>Noten von Zimt, Pfeffer, Muskat</t>
  </si>
  <si>
    <t>Blaubeere, fruchtig, Zitrus</t>
  </si>
  <si>
    <t>fruchtig, würzig,  Apfel, Zitrus</t>
  </si>
  <si>
    <t>US-Ales, IPA, Double IPA</t>
  </si>
  <si>
    <t>Ananas, Pinie, Zitrus</t>
  </si>
  <si>
    <t>IPA, Pale Ale, Weizen</t>
  </si>
  <si>
    <t>Zitronengras, Kiefernnadeln, grasig</t>
  </si>
  <si>
    <t>Guave, Melone, Limette, Papaya</t>
  </si>
  <si>
    <t>US Ale, IPA</t>
  </si>
  <si>
    <t xml:space="preserve">tropische Früchte, </t>
  </si>
  <si>
    <t>blumig, würzig, tropische Früchte</t>
  </si>
  <si>
    <t>schwarze Johennisbeere, Pinie</t>
  </si>
  <si>
    <t>Ale, IPA, Witbier</t>
  </si>
  <si>
    <t>fruchtig, würzig, Oranze, Zitrus, Minze</t>
  </si>
  <si>
    <t>Ale, Stouts, IPA</t>
  </si>
  <si>
    <t>mild, würzig</t>
  </si>
  <si>
    <t>Zitrus, Maracuja</t>
  </si>
  <si>
    <t>Ales, IPA, Porter, Stout</t>
  </si>
  <si>
    <t xml:space="preserve">fruchtig, </t>
  </si>
  <si>
    <t>Ale, IPA, Hopfenstopfen</t>
  </si>
  <si>
    <t>US-Ale</t>
  </si>
  <si>
    <t>schwarze Johannisbeere, würzig, Grape</t>
  </si>
  <si>
    <t>würzig, Zeder, grüntee</t>
  </si>
  <si>
    <t>würzig, schwarze Johannisbeere, Lemon</t>
  </si>
  <si>
    <t>Pinie, Limone, Rosinen, schwarzer Pfeffer</t>
  </si>
  <si>
    <t>blumig, Passionsfrucht, Stachelbeere, Grapefruit, Ananas</t>
  </si>
  <si>
    <t>kräuterig, blumig, grasig</t>
  </si>
  <si>
    <t>kräuterig, blumig, grasig, würzig</t>
  </si>
  <si>
    <t>Pinie, würzig, schwarzer Pfeffer</t>
  </si>
  <si>
    <t>klassisches Hopfenaroma, Vanille</t>
  </si>
  <si>
    <t>intensiv fruchtig, süß, Honigmelone</t>
  </si>
  <si>
    <t>Blumig, Hopfig, würzig</t>
  </si>
  <si>
    <t>Vergleichbar Nugget, Gelena, Chinock</t>
  </si>
  <si>
    <t>PL</t>
  </si>
  <si>
    <t>Bock, Festbier, Lager, Pils, Rauch</t>
  </si>
  <si>
    <t>Zitronig, Pfeffrig, Menthol, Minze</t>
  </si>
  <si>
    <t>US-Ales, IPS</t>
  </si>
  <si>
    <t>US-Lager, US-Weizen, Lambic, B-Ales</t>
  </si>
  <si>
    <t>Harzig, Mild, Würzig, Zitrus</t>
  </si>
  <si>
    <t>Lager, Pils</t>
  </si>
  <si>
    <t>kräuter, erdig, blumig</t>
  </si>
  <si>
    <t>harzig, kräuterig, Pinie</t>
  </si>
  <si>
    <t>Ales, Weizen</t>
  </si>
  <si>
    <t>Malling</t>
  </si>
  <si>
    <t>AT</t>
  </si>
  <si>
    <t>fruchtig, würzig</t>
  </si>
  <si>
    <t>fruchtig, Mandarine, süss</t>
  </si>
  <si>
    <t>Kräuter, Harzig, Ananas</t>
  </si>
  <si>
    <t>Ale, Stout, Barley Whine</t>
  </si>
  <si>
    <t>CZ</t>
  </si>
  <si>
    <t>Auswahl und Werte Brau- und Rauchshop Stand September 2017</t>
  </si>
  <si>
    <t>blumig, fruchtig, tropisch, erdig</t>
  </si>
  <si>
    <t>Zitrone, blumig, trop. Früchte, würzig</t>
  </si>
  <si>
    <t>kräuterig, Grapefruit</t>
  </si>
  <si>
    <t>Trauben, Stachelbeere, Grapefruit</t>
  </si>
  <si>
    <t>würzig, Zeder, Pinie</t>
  </si>
  <si>
    <t>würzig, harzig, kräuterig</t>
  </si>
  <si>
    <t>würzig, harzig, Birne, Pfirsich</t>
  </si>
  <si>
    <t>würzig, Zitrus, kräuterig</t>
  </si>
  <si>
    <t>Brombeere, Eiche, Pinie</t>
  </si>
  <si>
    <t>kräuterig, Zitronenschale, schwarzer Pfeffer</t>
  </si>
  <si>
    <t>Zitrus, schwarze Johannisbeere, Grapefruit</t>
  </si>
  <si>
    <t>würzig, Zeder, Orange</t>
  </si>
  <si>
    <t>würzig, Zeder, Honig</t>
  </si>
  <si>
    <t>fruchtig, "Gletschereis", Pfefferminze</t>
  </si>
  <si>
    <t>erdig, kräuterig, blumig</t>
  </si>
  <si>
    <t>blumig, fruchtig, Zitrus</t>
  </si>
  <si>
    <t>Kiefer, Grapefruit, Maracuja</t>
  </si>
  <si>
    <t>starkes Lemonaroma, Kokos</t>
  </si>
  <si>
    <t>blumig, grasig, mild, würzig</t>
  </si>
  <si>
    <t>blumig, Zitrus, Ananas, kräuterig, würzig</t>
  </si>
  <si>
    <t>Zitrone, Pinie, blumig</t>
  </si>
  <si>
    <t>Zitrus, Grapefruit, Orange</t>
  </si>
  <si>
    <t>Pinie, Zeder, Lakritze</t>
  </si>
  <si>
    <t>erdig, fruchtig, Lychee</t>
  </si>
  <si>
    <t>Passionsfrucht, Ananas, Pinie</t>
  </si>
  <si>
    <t>Mandarine, Zitrus, Kiefernadeln</t>
  </si>
  <si>
    <t>Vanille, blumig, Limette</t>
  </si>
  <si>
    <t>schwarze Johannisbeere, würzig, blumig</t>
  </si>
  <si>
    <t>aromatisch, würzig, Zitrus</t>
  </si>
  <si>
    <t>tropisch (Ananas), Zitrus, waldige Noten</t>
  </si>
  <si>
    <t>Weizen, Kölsch, B-Ale</t>
  </si>
  <si>
    <t>Pils, Lager, Weizen, Helles</t>
  </si>
  <si>
    <t>IPA, Ale, Lager</t>
  </si>
  <si>
    <t>Ale, Porter</t>
  </si>
  <si>
    <t>herbe Biere</t>
  </si>
  <si>
    <t>Lager, Pils, Ale, Stout</t>
  </si>
  <si>
    <t>Pils, Lager</t>
  </si>
  <si>
    <t>Lagerbiere, Lambic</t>
  </si>
  <si>
    <t>Lagerbiere, Pils</t>
  </si>
  <si>
    <t>Pale Ale, Stout, IPA</t>
  </si>
  <si>
    <t>Pils, Lager, Kölsch, B-Ale</t>
  </si>
  <si>
    <t>GB-Ales</t>
  </si>
  <si>
    <t>Bitter, Pale Ale</t>
  </si>
  <si>
    <t>Lager, Ale, Weizen, Kölsch</t>
  </si>
  <si>
    <t>Stout, Porter, Lager, Ale</t>
  </si>
  <si>
    <t>Lager, Pils, Ale, Stout, Porter, IPA</t>
  </si>
  <si>
    <t xml:space="preserve">US-helle Lager, Barley, Kölsch, Alt, </t>
  </si>
  <si>
    <t>Zitrone, würzig</t>
  </si>
  <si>
    <t>Zeder, Grape, Zitrus, Kräuterig</t>
  </si>
  <si>
    <t>GB-Ales, Ales, Hopfenstopfen</t>
  </si>
  <si>
    <t>ähnlich Fuggles, jedoch süsslicher, angenehmere Bittere</t>
  </si>
  <si>
    <t>Steinfrüchte (Aprikose), Feige</t>
  </si>
  <si>
    <t>Pils</t>
  </si>
  <si>
    <t>Pils, Lager, Weizen, B-Ales, Witbiere</t>
  </si>
  <si>
    <t>US-Ale, IPA, Double IPA</t>
  </si>
  <si>
    <t>IPA, Summer-Ale</t>
  </si>
  <si>
    <t>Pils, Kölsch, Lager, Ale</t>
  </si>
  <si>
    <t>Pils, Lagerbiere</t>
  </si>
  <si>
    <t>Pils, Ale, Lager, B-Ales</t>
  </si>
  <si>
    <t>US-Pale Ale, Ale, IPA</t>
  </si>
  <si>
    <t>GB-Ale</t>
  </si>
  <si>
    <t>Pils, Lager, Kölsch, Alt, Weizen</t>
  </si>
  <si>
    <t>Lager, Pils, Lambic, Ale</t>
  </si>
  <si>
    <t>Zitrus, leicht harzig, Pfeffer</t>
  </si>
  <si>
    <t>IPA, Apale Ale, Stout, Lager Barley</t>
  </si>
  <si>
    <t>D-Biere, (IPA)</t>
  </si>
  <si>
    <t>IPA, Ales, Lager</t>
  </si>
  <si>
    <t>fruchtige Ales</t>
  </si>
  <si>
    <t>Weizen, Lager, Kölsch, Alt</t>
  </si>
  <si>
    <t>Pale Ale, IPA</t>
  </si>
  <si>
    <t>US + GB Ales</t>
  </si>
  <si>
    <t>IPA, Lager, Stout, Pale Ale, Barley</t>
  </si>
  <si>
    <t>US Pale Ale, IPA</t>
  </si>
  <si>
    <t>würzig, Beeren, Orange, Kräuter</t>
  </si>
  <si>
    <t>Würzig, Erdig, Honig</t>
  </si>
  <si>
    <t>Zitrus, Toffee, Caramel</t>
  </si>
  <si>
    <t>GB-Ales, dunkle Ales</t>
  </si>
  <si>
    <t>Schokolade, Melasse, fruchtig</t>
  </si>
  <si>
    <t>Biere</t>
  </si>
  <si>
    <t>Einsatz
(Typisch)</t>
  </si>
  <si>
    <t>Bitter</t>
  </si>
  <si>
    <t>Hallertauer Magnum</t>
  </si>
  <si>
    <t>Mischung</t>
  </si>
  <si>
    <t>Übersicht Bierberechnungen</t>
  </si>
  <si>
    <t>Farb-Näherungswert</t>
  </si>
  <si>
    <t>Bierfarben sind immer Näherungswerte 
und weder am Bildschirm noch beim Ausdrucken Farbverbindlich.</t>
  </si>
  <si>
    <t>Bierfarben</t>
  </si>
  <si>
    <t>Farbwerte für Darstellung</t>
  </si>
  <si>
    <t>1) Hockerbrenner mit 10,5 kW  = Aufheizzeit ca. 60 Minuten</t>
  </si>
  <si>
    <t>Beispiele 50 Liter Wasser aufkochen:</t>
  </si>
  <si>
    <t>Hefesatz</t>
  </si>
  <si>
    <t>abzügl. Hefesatz (inkl. Speise)</t>
  </si>
  <si>
    <t>Hefesorte</t>
  </si>
  <si>
    <t>Wirlpool</t>
  </si>
  <si>
    <t>Bavarian Lager M76</t>
  </si>
  <si>
    <t>Mangrove Jacks</t>
  </si>
  <si>
    <t>50-100</t>
  </si>
  <si>
    <t>75-80</t>
  </si>
  <si>
    <t>Lagerbiere, Pils, Münchner, wenig Schwefelbildung</t>
  </si>
  <si>
    <t>Bavarian Wheat M20</t>
  </si>
  <si>
    <t>70-75</t>
  </si>
  <si>
    <t>Deutsche und Belgische Weissbiere</t>
  </si>
  <si>
    <t>Belgian Abbey M47</t>
  </si>
  <si>
    <t>18 - 25</t>
  </si>
  <si>
    <t>73-77</t>
  </si>
  <si>
    <t>82 - 88</t>
  </si>
  <si>
    <t>Belgian Trippel M31</t>
  </si>
  <si>
    <t>Belgische Bierstle,Trappist,  hohe Alkoholtoleranz</t>
  </si>
  <si>
    <t>Belgian Wit M21</t>
  </si>
  <si>
    <t>70 - 75</t>
  </si>
  <si>
    <t>Bohemian Lager M84</t>
  </si>
  <si>
    <t>72 - 76</t>
  </si>
  <si>
    <t>D/Bohemian Pils, Baltic Porter, US Style Lager</t>
  </si>
  <si>
    <t>Californian Lager M54</t>
  </si>
  <si>
    <t>18 - 20</t>
  </si>
  <si>
    <t>77 - 82</t>
  </si>
  <si>
    <t>Lagerbiere bei Obergäriger Temperatur ohne Fehlaromen</t>
  </si>
  <si>
    <t>Empire Ale M15</t>
  </si>
  <si>
    <t>French Saison M29</t>
  </si>
  <si>
    <t>26 - 32</t>
  </si>
  <si>
    <t>&gt;14</t>
  </si>
  <si>
    <t>85 - 90</t>
  </si>
  <si>
    <t>Für stark alkoholhaltige Biere, würzig, fruchtig, pfeffrig</t>
  </si>
  <si>
    <t>Liberty Bell Ale M36</t>
  </si>
  <si>
    <t>18 - 23</t>
  </si>
  <si>
    <t>74 - 78</t>
  </si>
  <si>
    <t>US/GB Ales, Bitters, golden Ales,  etc. für hopfige Biere</t>
  </si>
  <si>
    <t>New World Strong Ale M42</t>
  </si>
  <si>
    <t>IPA, Porter, Russian Imperial etc. lässt die Malz und Hopfenaromen entfalten</t>
  </si>
  <si>
    <t>West Coast M44</t>
  </si>
  <si>
    <t>77 - 85</t>
  </si>
  <si>
    <t>US Pale Ale, IPA, neutrales Hefearome</t>
  </si>
  <si>
    <t>Belgische Ales,Pale Ale, Abbey, Mässige Alkoholtoleranz</t>
  </si>
  <si>
    <t>Scottish Ale, Us Amber, Sweet Stout, vergärt mit fruchtigen Aromen</t>
  </si>
  <si>
    <t>English-style Ales, Pale Ales</t>
  </si>
  <si>
    <t>fruchtig, intensiv, Johannisbeere, süsslich</t>
  </si>
  <si>
    <t>harzig, -Kiefer, fruchtig, blumig</t>
  </si>
  <si>
    <t>Belgische Wit</t>
  </si>
  <si>
    <t>10-15%</t>
  </si>
  <si>
    <t>Absenkung pH Gehalt</t>
  </si>
  <si>
    <t>Porter, Stout, Schwarzbiere</t>
  </si>
  <si>
    <t xml:space="preserve">rötliche Farbe, </t>
  </si>
  <si>
    <t>Geschmack und Körper verbessern</t>
  </si>
  <si>
    <t>Torfiges (rauchiges) Aroma</t>
  </si>
  <si>
    <t>Geschmacksstabilität, Vollmundigkeit, rötliche Farbe</t>
  </si>
  <si>
    <t>Höhere Enzymkapazität, Aufschluss und Stärkeabbau</t>
  </si>
  <si>
    <t>von</t>
  </si>
  <si>
    <t>bis</t>
  </si>
  <si>
    <t xml:space="preserve">Zeit   </t>
  </si>
  <si>
    <t>Kühlschlange 10 Min. mitkochen</t>
  </si>
  <si>
    <t>ab Beginn</t>
  </si>
  <si>
    <t>Ausschlagwürze</t>
  </si>
  <si>
    <t>Hopfengaben, Bitterwerte annähernd berechnen</t>
  </si>
  <si>
    <t>Hopfengabe (Näherungsberechnung)</t>
  </si>
  <si>
    <t>2) Ringbrenner 40 cm mit zwei Gasringen, Brennerleistuing 13,5 kW = Aufheizzeit ca. 45 Minuten</t>
  </si>
  <si>
    <t>6.5 - 7</t>
  </si>
  <si>
    <t>Eckdaten der Anlage</t>
  </si>
  <si>
    <t>Kveik Yeast M12</t>
  </si>
  <si>
    <t>30 - 40</t>
  </si>
  <si>
    <t>Norsk Farmhouse Ales / Pale Ales / IPAs, neutraler Charakter, leichte Zitrusnote</t>
  </si>
  <si>
    <t>(Abstand zum Rand)</t>
  </si>
  <si>
    <t>Aktuell sind Produkte und Werte aus dem Brau &amp; Rauchshop hinterlegt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</si>
</sst>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0.0"/>
    <numFmt numFmtId="165" formatCode="0\ &quot;%&quot;"/>
    <numFmt numFmtId="166" formatCode="0\ &quot;g&quot;"/>
    <numFmt numFmtId="167" formatCode="0\ &quot;[%]&quot;"/>
    <numFmt numFmtId="168" formatCode="0.00\ &quot;kg&quot;"/>
    <numFmt numFmtId="169" formatCode="0&quot;°C&quot;"/>
    <numFmt numFmtId="170" formatCode="0\ &quot;Min&quot;"/>
    <numFmt numFmtId="171" formatCode="0\ &quot;Flaschen&quot;"/>
    <numFmt numFmtId="172" formatCode="#,##0\ &quot;g/l&quot;"/>
    <numFmt numFmtId="173" formatCode="0.0\ &quot;%&quot;"/>
    <numFmt numFmtId="174" formatCode="0&quot; g&quot;"/>
    <numFmt numFmtId="175" formatCode="General\ &quot;mm&quot;"/>
    <numFmt numFmtId="176" formatCode="General\ &quot;g&quot;"/>
    <numFmt numFmtId="177" formatCode="0.0\ &quot;l/kg&quot;"/>
    <numFmt numFmtId="178" formatCode="0.0\ &quot;l&quot;"/>
    <numFmt numFmtId="179" formatCode="0\ &quot;dl&quot;"/>
    <numFmt numFmtId="180" formatCode="0.0\ &quot;Brix&quot;"/>
    <numFmt numFmtId="181" formatCode="0\ &quot;°C&quot;"/>
    <numFmt numFmtId="182" formatCode="0.0\ &quot;°P&quot;"/>
    <numFmt numFmtId="183" formatCode="0\ &quot;l&quot;"/>
    <numFmt numFmtId="184" formatCode="0.0\ &quot;g/l&quot;"/>
    <numFmt numFmtId="185" formatCode="0.00\ &quot;g/l&quot;"/>
    <numFmt numFmtId="186" formatCode="0.00\ &quot;Plato&quot;"/>
    <numFmt numFmtId="187" formatCode="0.0\ &quot;EBC&quot;"/>
    <numFmt numFmtId="188" formatCode="0\ &quot;EBC)&quot;"/>
    <numFmt numFmtId="189" formatCode="0.0%"/>
    <numFmt numFmtId="190" formatCode="0.0\ &quot;%vol.&quot;"/>
    <numFmt numFmtId="191" formatCode="0.0\ &quot;Plato&quot;"/>
    <numFmt numFmtId="192" formatCode="h/mm&quot; h&quot;;@"/>
    <numFmt numFmtId="193" formatCode="0.0\ &quot;pH&quot;"/>
    <numFmt numFmtId="194" formatCode="0\ &quot;mm&quot;"/>
    <numFmt numFmtId="195" formatCode="0\ &quot;Liter&quot;"/>
    <numFmt numFmtId="196" formatCode="0.0000"/>
    <numFmt numFmtId="197" formatCode="0.0000\ &quot;SG&quot;"/>
    <numFmt numFmtId="198" formatCode="0.0\ &quot;dl&quot;"/>
    <numFmt numFmtId="199" formatCode="0.0\ &quot;ca. Kaltwürze&quot;"/>
    <numFmt numFmtId="200" formatCode="0\ &quot;Min.&quot;"/>
    <numFmt numFmtId="201" formatCode="#,##0\ &quot;g/hl&quot;"/>
  </numFmts>
  <fonts count="127">
    <font>
      <sz val="10"/>
      <name val="Arial"/>
    </font>
    <font>
      <sz val="11"/>
      <color theme="1"/>
      <name val="Century Gothic"/>
      <family val="2"/>
      <scheme val="minor"/>
    </font>
    <font>
      <sz val="11"/>
      <color theme="1"/>
      <name val="Century Gothic"/>
      <family val="2"/>
      <scheme val="minor"/>
    </font>
    <font>
      <sz val="11"/>
      <color theme="1"/>
      <name val="Century Gothic"/>
      <family val="2"/>
      <scheme val="minor"/>
    </font>
    <font>
      <sz val="10"/>
      <name val="Arial"/>
      <family val="2"/>
    </font>
    <font>
      <sz val="8"/>
      <name val="Arial"/>
      <family val="2"/>
    </font>
    <font>
      <sz val="10"/>
      <color indexed="10"/>
      <name val="Arial"/>
      <family val="2"/>
    </font>
    <font>
      <b/>
      <sz val="8"/>
      <color indexed="81"/>
      <name val="Tahoma"/>
      <family val="2"/>
    </font>
    <font>
      <sz val="10"/>
      <color indexed="9"/>
      <name val="Arial"/>
      <family val="2"/>
    </font>
    <font>
      <sz val="10"/>
      <color indexed="8"/>
      <name val="Arial"/>
      <family val="2"/>
    </font>
    <font>
      <sz val="10"/>
      <color indexed="10"/>
      <name val="Arial"/>
      <family val="2"/>
    </font>
    <font>
      <sz val="12"/>
      <color indexed="26"/>
      <name val="Zapf Dingbats"/>
      <charset val="2"/>
    </font>
    <font>
      <sz val="10"/>
      <color indexed="26"/>
      <name val="Arial"/>
      <family val="2"/>
    </font>
    <font>
      <sz val="10"/>
      <color indexed="33"/>
      <name val="Arial"/>
      <family val="2"/>
    </font>
    <font>
      <sz val="10"/>
      <color indexed="48"/>
      <name val="Arial"/>
      <family val="2"/>
    </font>
    <font>
      <sz val="10"/>
      <color indexed="59"/>
      <name val="Arial"/>
      <family val="2"/>
    </font>
    <font>
      <sz val="10"/>
      <color indexed="42"/>
      <name val="Arial"/>
      <family val="2"/>
    </font>
    <font>
      <sz val="10"/>
      <color indexed="43"/>
      <name val="Arial"/>
      <family val="2"/>
    </font>
    <font>
      <sz val="10"/>
      <color indexed="43"/>
      <name val="Nimbus Sans L"/>
      <family val="2"/>
    </font>
    <font>
      <sz val="10"/>
      <color indexed="20"/>
      <name val="Arial"/>
      <family val="2"/>
    </font>
    <font>
      <sz val="10"/>
      <color indexed="31"/>
      <name val="Arial"/>
      <family val="2"/>
    </font>
    <font>
      <sz val="8"/>
      <color indexed="31"/>
      <name val="Nimbus Sans L"/>
      <family val="2"/>
    </font>
    <font>
      <sz val="10"/>
      <color indexed="23"/>
      <name val="Arial"/>
      <family val="2"/>
    </font>
    <font>
      <sz val="8"/>
      <color indexed="23"/>
      <name val="Nimbus Sans L"/>
      <family val="2"/>
    </font>
    <font>
      <sz val="10"/>
      <color indexed="27"/>
      <name val="Zapf Dingbats"/>
      <charset val="2"/>
    </font>
    <font>
      <sz val="10"/>
      <color indexed="47"/>
      <name val="Arial"/>
      <family val="2"/>
    </font>
    <font>
      <sz val="10"/>
      <color indexed="10"/>
      <name val="Nimbus Sans L"/>
      <family val="2"/>
    </font>
    <font>
      <sz val="6"/>
      <color indexed="10"/>
      <name val="Arial"/>
      <family val="2"/>
    </font>
    <font>
      <sz val="4"/>
      <color indexed="32"/>
      <name val="Zapf Dingbats"/>
      <charset val="2"/>
    </font>
    <font>
      <sz val="10"/>
      <color indexed="45"/>
      <name val="Arial"/>
      <family val="2"/>
    </font>
    <font>
      <sz val="10"/>
      <color indexed="45"/>
      <name val="Nimbus Sans L"/>
      <family val="2"/>
    </font>
    <font>
      <sz val="10.5"/>
      <name val="Nimbus Sans L"/>
      <family val="2"/>
    </font>
    <font>
      <sz val="10"/>
      <color indexed="53"/>
      <name val="Arial"/>
      <family val="2"/>
    </font>
    <font>
      <sz val="10"/>
      <color indexed="53"/>
      <name val="Nimbus Sans L"/>
      <family val="2"/>
    </font>
    <font>
      <sz val="10"/>
      <color indexed="52"/>
      <name val="Arial"/>
      <family val="2"/>
    </font>
    <font>
      <sz val="8"/>
      <color indexed="52"/>
      <name val="Nimbus Sans L"/>
      <family val="2"/>
    </font>
    <font>
      <sz val="11"/>
      <color indexed="47"/>
      <name val="Nimbus Sans L"/>
      <family val="2"/>
    </font>
    <font>
      <sz val="6"/>
      <color indexed="8"/>
      <name val="Arial"/>
      <family val="2"/>
    </font>
    <font>
      <sz val="8"/>
      <color indexed="8"/>
      <name val="Arial"/>
      <family val="2"/>
    </font>
    <font>
      <sz val="10"/>
      <color indexed="34"/>
      <name val="Zapf Dingbats"/>
      <charset val="2"/>
    </font>
    <font>
      <sz val="10"/>
      <color indexed="8"/>
      <name val="Zapf Dingbats"/>
      <charset val="2"/>
    </font>
    <font>
      <sz val="10"/>
      <name val="Calibri"/>
      <family val="2"/>
    </font>
    <font>
      <b/>
      <sz val="11"/>
      <name val="Calibri"/>
      <family val="2"/>
    </font>
    <font>
      <b/>
      <sz val="10"/>
      <name val="Calibri"/>
      <family val="2"/>
    </font>
    <font>
      <sz val="11"/>
      <name val="Calibri"/>
      <family val="2"/>
    </font>
    <font>
      <b/>
      <sz val="12"/>
      <name val="Calibri"/>
      <family val="2"/>
    </font>
    <font>
      <sz val="11"/>
      <color theme="1"/>
      <name val="Calibri"/>
      <family val="2"/>
    </font>
    <font>
      <b/>
      <sz val="11"/>
      <color theme="1"/>
      <name val="Calibri"/>
      <family val="2"/>
    </font>
    <font>
      <b/>
      <sz val="14"/>
      <name val="Calibri"/>
      <family val="2"/>
    </font>
    <font>
      <b/>
      <sz val="14"/>
      <color theme="1"/>
      <name val="Calibri"/>
      <family val="2"/>
    </font>
    <font>
      <sz val="11"/>
      <color theme="0"/>
      <name val="Calibri"/>
      <family val="2"/>
    </font>
    <font>
      <i/>
      <sz val="11"/>
      <name val="Calibri"/>
      <family val="2"/>
    </font>
    <font>
      <sz val="10"/>
      <color theme="0"/>
      <name val="Calibri"/>
      <family val="2"/>
    </font>
    <font>
      <sz val="9"/>
      <color indexed="81"/>
      <name val="Calibri"/>
      <family val="2"/>
    </font>
    <font>
      <sz val="9"/>
      <name val="Calibri"/>
      <family val="2"/>
    </font>
    <font>
      <b/>
      <sz val="9"/>
      <color indexed="81"/>
      <name val="Tahoma"/>
      <family val="2"/>
    </font>
    <font>
      <i/>
      <sz val="10"/>
      <name val="Calibri"/>
      <family val="2"/>
    </font>
    <font>
      <sz val="10"/>
      <color indexed="10"/>
      <name val="Calibri"/>
      <family val="2"/>
    </font>
    <font>
      <sz val="8"/>
      <name val="Calibri"/>
      <family val="2"/>
    </font>
    <font>
      <vertAlign val="subscript"/>
      <sz val="10"/>
      <name val="Calibri"/>
      <family val="2"/>
    </font>
    <font>
      <sz val="10"/>
      <color rgb="FFFF0000"/>
      <name val="Calibri"/>
      <family val="2"/>
    </font>
    <font>
      <b/>
      <sz val="13"/>
      <name val="Calibri"/>
      <family val="2"/>
    </font>
    <font>
      <b/>
      <sz val="10"/>
      <color rgb="FFFF0000"/>
      <name val="Calibri"/>
      <family val="2"/>
    </font>
    <font>
      <sz val="10"/>
      <color rgb="FFFFFFCC"/>
      <name val="Calibri"/>
      <family val="2"/>
    </font>
    <font>
      <sz val="10"/>
      <color rgb="FFFEF5CE"/>
      <name val="Calibri"/>
      <family val="2"/>
    </font>
    <font>
      <b/>
      <sz val="12"/>
      <color theme="0"/>
      <name val="Calibri"/>
      <family val="2"/>
    </font>
    <font>
      <sz val="9"/>
      <color theme="0"/>
      <name val="Calibri"/>
      <family val="2"/>
    </font>
    <font>
      <vertAlign val="subscript"/>
      <sz val="9"/>
      <name val="Calibri"/>
      <family val="2"/>
    </font>
    <font>
      <sz val="10"/>
      <color theme="0" tint="-0.499984740745262"/>
      <name val="Calibri"/>
      <family val="2"/>
    </font>
    <font>
      <sz val="8"/>
      <color rgb="FF000000"/>
      <name val="Tahoma"/>
      <family val="2"/>
    </font>
    <font>
      <b/>
      <sz val="6"/>
      <name val="Calibri"/>
      <family val="2"/>
    </font>
    <font>
      <sz val="12"/>
      <name val="Calibri"/>
      <family val="2"/>
    </font>
    <font>
      <sz val="10"/>
      <color theme="1"/>
      <name val="Calibri"/>
      <family val="2"/>
    </font>
    <font>
      <vertAlign val="subscript"/>
      <sz val="10"/>
      <color theme="1"/>
      <name val="Calibri"/>
      <family val="2"/>
    </font>
    <font>
      <sz val="10"/>
      <color rgb="FF000000"/>
      <name val="Calibri"/>
      <family val="2"/>
    </font>
    <font>
      <b/>
      <sz val="10"/>
      <color theme="1"/>
      <name val="Calibri"/>
      <family val="2"/>
    </font>
    <font>
      <b/>
      <vertAlign val="subscript"/>
      <sz val="10"/>
      <color theme="1"/>
      <name val="Calibri"/>
      <family val="2"/>
    </font>
    <font>
      <b/>
      <sz val="16"/>
      <name val="Calibri"/>
      <family val="2"/>
    </font>
    <font>
      <u/>
      <sz val="10"/>
      <color theme="10"/>
      <name val="Arial"/>
      <family val="2"/>
    </font>
    <font>
      <sz val="12"/>
      <color theme="1"/>
      <name val="Calibri"/>
      <family val="2"/>
    </font>
    <font>
      <b/>
      <sz val="10"/>
      <color theme="0"/>
      <name val="Calibri"/>
      <family val="2"/>
    </font>
    <font>
      <b/>
      <sz val="14"/>
      <color theme="1"/>
      <name val="Century Gothic"/>
      <family val="2"/>
      <scheme val="minor"/>
    </font>
    <font>
      <b/>
      <sz val="10"/>
      <color indexed="81"/>
      <name val="Calibri"/>
      <family val="2"/>
    </font>
    <font>
      <sz val="10"/>
      <color rgb="FFFFE699"/>
      <name val="Calibri"/>
      <family val="2"/>
    </font>
    <font>
      <sz val="10"/>
      <color rgb="FFFFD878"/>
      <name val="Calibri"/>
      <family val="2"/>
    </font>
    <font>
      <sz val="10"/>
      <color rgb="FFFFCA5A"/>
      <name val="Calibri"/>
      <family val="2"/>
    </font>
    <font>
      <sz val="10"/>
      <color rgb="FFFFBF42"/>
      <name val="Calibri"/>
      <family val="2"/>
    </font>
    <font>
      <sz val="10"/>
      <color rgb="FFFBB123"/>
      <name val="Calibri"/>
      <family val="2"/>
    </font>
    <font>
      <sz val="10"/>
      <color rgb="FFF8A600"/>
      <name val="Calibri"/>
      <family val="2"/>
    </font>
    <font>
      <sz val="10"/>
      <color rgb="FFF39C00"/>
      <name val="Calibri"/>
      <family val="2"/>
    </font>
    <font>
      <sz val="10"/>
      <color rgb="FFEA8F00"/>
      <name val="Calibri"/>
      <family val="2"/>
    </font>
    <font>
      <sz val="10"/>
      <color rgb="FFE58500"/>
      <name val="Calibri"/>
      <family val="2"/>
    </font>
    <font>
      <sz val="10"/>
      <color rgb="FFDE7C00"/>
      <name val="Calibri"/>
      <family val="2"/>
    </font>
    <font>
      <sz val="10"/>
      <color rgb="FFD77200"/>
      <name val="Calibri"/>
      <family val="2"/>
    </font>
    <font>
      <sz val="10"/>
      <color rgb="FFCF6900"/>
      <name val="Calibri"/>
      <family val="2"/>
    </font>
    <font>
      <sz val="10"/>
      <color rgb="FFCB6200"/>
      <name val="Calibri"/>
      <family val="2"/>
    </font>
    <font>
      <sz val="10"/>
      <color rgb="FFC35900"/>
      <name val="Calibri"/>
      <family val="2"/>
    </font>
    <font>
      <sz val="10"/>
      <color rgb="FFBB5100"/>
      <name val="Calibri"/>
      <family val="2"/>
    </font>
    <font>
      <sz val="10"/>
      <color rgb="FFB54C00"/>
      <name val="Calibri"/>
      <family val="2"/>
    </font>
    <font>
      <sz val="10"/>
      <color rgb="FFB04500"/>
      <name val="Calibri"/>
      <family val="2"/>
    </font>
    <font>
      <sz val="10"/>
      <color rgb="FFA63E00"/>
      <name val="Calibri"/>
      <family val="2"/>
    </font>
    <font>
      <sz val="10"/>
      <color rgb="FFA13700"/>
      <name val="Calibri"/>
      <family val="2"/>
    </font>
    <font>
      <sz val="10"/>
      <color rgb="FF9B3200"/>
      <name val="Calibri"/>
      <family val="2"/>
    </font>
    <font>
      <sz val="10"/>
      <color rgb="FF952D00"/>
      <name val="Calibri"/>
      <family val="2"/>
    </font>
    <font>
      <sz val="10"/>
      <color rgb="FF8E2900"/>
      <name val="Calibri"/>
      <family val="2"/>
    </font>
    <font>
      <sz val="10"/>
      <color rgb="FF882300"/>
      <name val="Calibri"/>
      <family val="2"/>
    </font>
    <font>
      <sz val="10"/>
      <color rgb="FF821E00"/>
      <name val="Calibri"/>
      <family val="2"/>
    </font>
    <font>
      <sz val="10"/>
      <color rgb="FF7B1A00"/>
      <name val="Calibri"/>
      <family val="2"/>
    </font>
    <font>
      <sz val="10"/>
      <color rgb="FF771900"/>
      <name val="Calibri"/>
      <family val="2"/>
    </font>
    <font>
      <sz val="10"/>
      <color rgb="FF701400"/>
      <name val="Calibri"/>
      <family val="2"/>
    </font>
    <font>
      <sz val="10"/>
      <color rgb="FF6A0E00"/>
      <name val="Calibri"/>
      <family val="2"/>
    </font>
    <font>
      <sz val="10"/>
      <color rgb="FF660D00"/>
      <name val="Calibri"/>
      <family val="2"/>
    </font>
    <font>
      <sz val="10"/>
      <color rgb="FF5E0B00"/>
      <name val="Calibri"/>
      <family val="2"/>
    </font>
    <font>
      <sz val="10"/>
      <color rgb="FF5A0A02"/>
      <name val="Calibri"/>
      <family val="2"/>
    </font>
    <font>
      <sz val="10"/>
      <color rgb="FF560A05"/>
      <name val="Calibri"/>
      <family val="2"/>
    </font>
    <font>
      <sz val="10"/>
      <color rgb="FF520907"/>
      <name val="Calibri"/>
      <family val="2"/>
    </font>
    <font>
      <sz val="10"/>
      <color rgb="FF4C0505"/>
      <name val="Calibri"/>
      <family val="2"/>
    </font>
    <font>
      <sz val="10"/>
      <color rgb="FF470606"/>
      <name val="Calibri"/>
      <family val="2"/>
    </font>
    <font>
      <sz val="10"/>
      <color rgb="FF440607"/>
      <name val="Calibri"/>
      <family val="2"/>
    </font>
    <font>
      <sz val="10"/>
      <color rgb="FF3F0708"/>
      <name val="Calibri"/>
      <family val="2"/>
    </font>
    <font>
      <sz val="10"/>
      <color rgb="FF3B0607"/>
      <name val="Calibri"/>
      <family val="2"/>
    </font>
    <font>
      <sz val="10"/>
      <color rgb="FF3A070B"/>
      <name val="Calibri"/>
      <family val="2"/>
    </font>
    <font>
      <sz val="10"/>
      <color rgb="FF36080A"/>
      <name val="Calibri"/>
      <family val="2"/>
    </font>
    <font>
      <sz val="10"/>
      <color rgb="FF333333"/>
      <name val="Calibri"/>
      <family val="2"/>
    </font>
    <font>
      <b/>
      <sz val="11"/>
      <color theme="0"/>
      <name val="Calibri"/>
      <family val="2"/>
    </font>
    <font>
      <sz val="9"/>
      <color indexed="81"/>
      <name val="Tahoma"/>
      <family val="2"/>
    </font>
    <font>
      <sz val="8"/>
      <color indexed="81"/>
      <name val="Calibri"/>
      <family val="2"/>
    </font>
  </fonts>
  <fills count="88">
    <fill>
      <patternFill patternType="none"/>
    </fill>
    <fill>
      <patternFill patternType="gray125"/>
    </fill>
    <fill>
      <patternFill patternType="solid">
        <fgColor indexed="26"/>
        <bgColor indexed="9"/>
      </patternFill>
    </fill>
    <fill>
      <patternFill patternType="solid">
        <fgColor indexed="33"/>
        <bgColor indexed="20"/>
      </patternFill>
    </fill>
    <fill>
      <patternFill patternType="solid">
        <fgColor indexed="48"/>
        <bgColor indexed="22"/>
      </patternFill>
    </fill>
    <fill>
      <patternFill patternType="solid">
        <fgColor indexed="59"/>
        <bgColor indexed="58"/>
      </patternFill>
    </fill>
    <fill>
      <patternFill patternType="solid">
        <fgColor indexed="42"/>
        <bgColor indexed="58"/>
      </patternFill>
    </fill>
    <fill>
      <patternFill patternType="solid">
        <fgColor indexed="43"/>
        <bgColor indexed="26"/>
      </patternFill>
    </fill>
    <fill>
      <patternFill patternType="solid">
        <fgColor indexed="20"/>
        <bgColor indexed="33"/>
      </patternFill>
    </fill>
    <fill>
      <patternFill patternType="solid">
        <fgColor indexed="27"/>
        <bgColor indexed="41"/>
      </patternFill>
    </fill>
    <fill>
      <patternFill patternType="solid">
        <fgColor indexed="47"/>
        <bgColor indexed="31"/>
      </patternFill>
    </fill>
    <fill>
      <patternFill patternType="solid">
        <fgColor indexed="10"/>
        <bgColor indexed="16"/>
      </patternFill>
    </fill>
    <fill>
      <patternFill patternType="solid">
        <fgColor indexed="32"/>
        <bgColor indexed="39"/>
      </patternFill>
    </fill>
    <fill>
      <patternFill patternType="solid">
        <fgColor indexed="45"/>
        <bgColor indexed="52"/>
      </patternFill>
    </fill>
    <fill>
      <patternFill patternType="solid">
        <fgColor indexed="53"/>
        <bgColor indexed="37"/>
      </patternFill>
    </fill>
    <fill>
      <patternFill patternType="solid">
        <fgColor indexed="52"/>
        <bgColor indexed="45"/>
      </patternFill>
    </fill>
    <fill>
      <patternFill patternType="solid">
        <fgColor indexed="9"/>
        <bgColor indexed="26"/>
      </patternFill>
    </fill>
    <fill>
      <patternFill patternType="solid">
        <fgColor indexed="51"/>
        <bgColor indexed="64"/>
      </patternFill>
    </fill>
    <fill>
      <patternFill patternType="solid">
        <fgColor indexed="50"/>
        <bgColor indexed="64"/>
      </patternFill>
    </fill>
    <fill>
      <patternFill patternType="solid">
        <fgColor rgb="FFFFFFCC"/>
        <bgColor indexed="64"/>
      </patternFill>
    </fill>
    <fill>
      <patternFill patternType="solid">
        <fgColor theme="9" tint="-0.249977111117893"/>
        <bgColor indexed="64"/>
      </patternFill>
    </fill>
    <fill>
      <patternFill patternType="solid">
        <fgColor rgb="FFFFFF99"/>
        <bgColor indexed="64"/>
      </patternFill>
    </fill>
    <fill>
      <patternFill patternType="solid">
        <fgColor theme="9" tint="-0.499984740745262"/>
        <bgColor indexed="64"/>
      </patternFill>
    </fill>
    <fill>
      <patternFill patternType="solid">
        <fgColor theme="9"/>
        <bgColor indexed="64"/>
      </patternFill>
    </fill>
    <fill>
      <patternFill patternType="solid">
        <fgColor theme="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CC6600"/>
        <bgColor indexed="64"/>
      </patternFill>
    </fill>
    <fill>
      <patternFill patternType="solid">
        <fgColor rgb="FFFF9933"/>
        <bgColor indexed="64"/>
      </patternFill>
    </fill>
    <fill>
      <patternFill patternType="solid">
        <fgColor rgb="FFFBEC81"/>
        <bgColor indexed="64"/>
      </patternFill>
    </fill>
    <fill>
      <patternFill patternType="solid">
        <fgColor rgb="FF864300"/>
        <bgColor indexed="64"/>
      </patternFill>
    </fill>
    <fill>
      <patternFill patternType="solid">
        <fgColor rgb="FFCF7701"/>
        <bgColor indexed="64"/>
      </patternFill>
    </fill>
    <fill>
      <patternFill patternType="solid">
        <fgColor rgb="FF1F170F"/>
        <bgColor indexed="64"/>
      </patternFill>
    </fill>
    <fill>
      <patternFill patternType="solid">
        <fgColor rgb="FFF3C503"/>
        <bgColor indexed="64"/>
      </patternFill>
    </fill>
    <fill>
      <patternFill patternType="solid">
        <fgColor rgb="FFFEF09C"/>
        <bgColor indexed="64"/>
      </patternFill>
    </fill>
    <fill>
      <patternFill patternType="solid">
        <fgColor rgb="FFFEAD40"/>
        <bgColor indexed="64"/>
      </patternFill>
    </fill>
    <fill>
      <patternFill patternType="solid">
        <fgColor rgb="FFE0B984"/>
        <bgColor indexed="64"/>
      </patternFill>
    </fill>
    <fill>
      <patternFill patternType="solid">
        <fgColor rgb="FF955601"/>
        <bgColor indexed="64"/>
      </patternFill>
    </fill>
    <fill>
      <patternFill patternType="solid">
        <fgColor rgb="FFFDE555"/>
        <bgColor indexed="64"/>
      </patternFill>
    </fill>
    <fill>
      <patternFill patternType="solid">
        <fgColor rgb="FFFEEB7A"/>
        <bgColor indexed="64"/>
      </patternFill>
    </fill>
    <fill>
      <patternFill patternType="solid">
        <fgColor rgb="FFFFCC66"/>
        <bgColor indexed="64"/>
      </patternFill>
    </fill>
    <fill>
      <patternFill patternType="solid">
        <fgColor rgb="FFFEF5CE"/>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ECFF"/>
        <bgColor indexed="64"/>
      </patternFill>
    </fill>
    <fill>
      <patternFill patternType="solid">
        <fgColor rgb="FFFFE699"/>
        <bgColor indexed="64"/>
      </patternFill>
    </fill>
    <fill>
      <patternFill patternType="solid">
        <fgColor rgb="FFFFD878"/>
        <bgColor indexed="64"/>
      </patternFill>
    </fill>
    <fill>
      <patternFill patternType="solid">
        <fgColor rgb="FFFFCA5A"/>
        <bgColor indexed="64"/>
      </patternFill>
    </fill>
    <fill>
      <patternFill patternType="solid">
        <fgColor rgb="FFFFBF42"/>
        <bgColor indexed="64"/>
      </patternFill>
    </fill>
    <fill>
      <patternFill patternType="solid">
        <fgColor rgb="FFFBB123"/>
        <bgColor indexed="64"/>
      </patternFill>
    </fill>
    <fill>
      <patternFill patternType="solid">
        <fgColor rgb="FFF8A600"/>
        <bgColor indexed="64"/>
      </patternFill>
    </fill>
    <fill>
      <patternFill patternType="solid">
        <fgColor rgb="FFF39C00"/>
        <bgColor indexed="64"/>
      </patternFill>
    </fill>
    <fill>
      <patternFill patternType="solid">
        <fgColor rgb="FFEA8F00"/>
        <bgColor indexed="64"/>
      </patternFill>
    </fill>
    <fill>
      <patternFill patternType="solid">
        <fgColor rgb="FFE58500"/>
        <bgColor indexed="64"/>
      </patternFill>
    </fill>
    <fill>
      <patternFill patternType="solid">
        <fgColor rgb="FFDE7C00"/>
        <bgColor indexed="64"/>
      </patternFill>
    </fill>
    <fill>
      <patternFill patternType="solid">
        <fgColor rgb="FFD77200"/>
        <bgColor indexed="64"/>
      </patternFill>
    </fill>
    <fill>
      <patternFill patternType="solid">
        <fgColor rgb="FFCF6900"/>
        <bgColor indexed="64"/>
      </patternFill>
    </fill>
    <fill>
      <patternFill patternType="solid">
        <fgColor rgb="FFCB6200"/>
        <bgColor indexed="64"/>
      </patternFill>
    </fill>
    <fill>
      <patternFill patternType="solid">
        <fgColor rgb="FFC35900"/>
        <bgColor indexed="64"/>
      </patternFill>
    </fill>
    <fill>
      <patternFill patternType="solid">
        <fgColor rgb="FFBB5100"/>
        <bgColor indexed="64"/>
      </patternFill>
    </fill>
    <fill>
      <patternFill patternType="solid">
        <fgColor rgb="FFB54C00"/>
        <bgColor indexed="64"/>
      </patternFill>
    </fill>
    <fill>
      <patternFill patternType="solid">
        <fgColor rgb="FFB04500"/>
        <bgColor indexed="64"/>
      </patternFill>
    </fill>
    <fill>
      <patternFill patternType="solid">
        <fgColor rgb="FFA63E00"/>
        <bgColor indexed="64"/>
      </patternFill>
    </fill>
    <fill>
      <patternFill patternType="solid">
        <fgColor rgb="FFA13700"/>
        <bgColor indexed="64"/>
      </patternFill>
    </fill>
    <fill>
      <patternFill patternType="solid">
        <fgColor rgb="FF9B3200"/>
        <bgColor indexed="64"/>
      </patternFill>
    </fill>
    <fill>
      <patternFill patternType="solid">
        <fgColor rgb="FF952D00"/>
        <bgColor indexed="64"/>
      </patternFill>
    </fill>
    <fill>
      <patternFill patternType="solid">
        <fgColor rgb="FF8E2900"/>
        <bgColor indexed="64"/>
      </patternFill>
    </fill>
    <fill>
      <patternFill patternType="solid">
        <fgColor rgb="FF882300"/>
        <bgColor indexed="64"/>
      </patternFill>
    </fill>
    <fill>
      <patternFill patternType="solid">
        <fgColor rgb="FF821E00"/>
        <bgColor indexed="64"/>
      </patternFill>
    </fill>
    <fill>
      <patternFill patternType="solid">
        <fgColor rgb="FF7B1A00"/>
        <bgColor indexed="64"/>
      </patternFill>
    </fill>
    <fill>
      <patternFill patternType="solid">
        <fgColor rgb="FF771900"/>
        <bgColor indexed="64"/>
      </patternFill>
    </fill>
    <fill>
      <patternFill patternType="solid">
        <fgColor rgb="FF701400"/>
        <bgColor indexed="64"/>
      </patternFill>
    </fill>
    <fill>
      <patternFill patternType="solid">
        <fgColor rgb="FF6A0E00"/>
        <bgColor indexed="64"/>
      </patternFill>
    </fill>
    <fill>
      <patternFill patternType="solid">
        <fgColor rgb="FF660D00"/>
        <bgColor indexed="64"/>
      </patternFill>
    </fill>
    <fill>
      <patternFill patternType="solid">
        <fgColor rgb="FF5E0B00"/>
        <bgColor indexed="64"/>
      </patternFill>
    </fill>
    <fill>
      <patternFill patternType="solid">
        <fgColor rgb="FF5A0A02"/>
        <bgColor indexed="64"/>
      </patternFill>
    </fill>
    <fill>
      <patternFill patternType="solid">
        <fgColor rgb="FF560A05"/>
        <bgColor indexed="64"/>
      </patternFill>
    </fill>
    <fill>
      <patternFill patternType="solid">
        <fgColor rgb="FF520907"/>
        <bgColor indexed="64"/>
      </patternFill>
    </fill>
    <fill>
      <patternFill patternType="solid">
        <fgColor rgb="FF4C0505"/>
        <bgColor indexed="64"/>
      </patternFill>
    </fill>
    <fill>
      <patternFill patternType="solid">
        <fgColor rgb="FF470606"/>
        <bgColor indexed="64"/>
      </patternFill>
    </fill>
    <fill>
      <patternFill patternType="solid">
        <fgColor rgb="FF440607"/>
        <bgColor indexed="64"/>
      </patternFill>
    </fill>
    <fill>
      <patternFill patternType="solid">
        <fgColor rgb="FF3F0708"/>
        <bgColor indexed="64"/>
      </patternFill>
    </fill>
    <fill>
      <patternFill patternType="solid">
        <fgColor rgb="FF3B0607"/>
        <bgColor indexed="64"/>
      </patternFill>
    </fill>
    <fill>
      <patternFill patternType="solid">
        <fgColor rgb="FF3A070B"/>
        <bgColor indexed="64"/>
      </patternFill>
    </fill>
    <fill>
      <patternFill patternType="solid">
        <fgColor rgb="FF36080A"/>
        <bgColor indexed="64"/>
      </patternFill>
    </fill>
    <fill>
      <patternFill patternType="solid">
        <fgColor theme="9" tint="0.79998168889431442"/>
        <bgColor indexed="64"/>
      </patternFill>
    </fill>
    <fill>
      <patternFill patternType="solid">
        <fgColor theme="0" tint="-0.499984740745262"/>
        <bgColor indexed="64"/>
      </patternFill>
    </fill>
  </fills>
  <borders count="89">
    <border>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9"/>
      </right>
      <top style="thin">
        <color indexed="9"/>
      </top>
      <bottom style="thin">
        <color indexed="9"/>
      </bottom>
      <diagonal/>
    </border>
    <border>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top/>
      <bottom style="medium">
        <color rgb="FFFFCC66"/>
      </bottom>
      <diagonal/>
    </border>
    <border>
      <left/>
      <right/>
      <top style="medium">
        <color rgb="FFFFCC66"/>
      </top>
      <bottom style="medium">
        <color rgb="FFFFCC66"/>
      </bottom>
      <diagonal/>
    </border>
    <border>
      <left/>
      <right/>
      <top style="medium">
        <color rgb="FFFFCC66"/>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499984740745262"/>
      </bottom>
      <diagonal/>
    </border>
    <border>
      <left/>
      <right/>
      <top/>
      <bottom style="medium">
        <color rgb="FFFFC000"/>
      </bottom>
      <diagonal/>
    </border>
    <border>
      <left/>
      <right/>
      <top/>
      <bottom style="mediumDashed">
        <color rgb="FFFFCC66"/>
      </bottom>
      <diagonal/>
    </border>
    <border>
      <left/>
      <right/>
      <top/>
      <bottom style="thin">
        <color rgb="FFFFCC66"/>
      </bottom>
      <diagonal/>
    </border>
    <border>
      <left/>
      <right/>
      <top style="thin">
        <color rgb="FFFFCC66"/>
      </top>
      <bottom style="thin">
        <color rgb="FFFFCC66"/>
      </bottom>
      <diagonal/>
    </border>
    <border>
      <left/>
      <right/>
      <top style="thin">
        <color rgb="FFFFCC66"/>
      </top>
      <bottom/>
      <diagonal/>
    </border>
    <border>
      <left/>
      <right/>
      <top style="medium">
        <color rgb="FFFFCC66"/>
      </top>
      <bottom style="thin">
        <color rgb="FFFFCC66"/>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FFCC66"/>
      </right>
      <top/>
      <bottom style="thin">
        <color rgb="FFFFCC66"/>
      </bottom>
      <diagonal/>
    </border>
    <border>
      <left style="thin">
        <color rgb="FFFFCC66"/>
      </left>
      <right style="thin">
        <color rgb="FFFFCC66"/>
      </right>
      <top/>
      <bottom style="thin">
        <color rgb="FFFFCC66"/>
      </bottom>
      <diagonal/>
    </border>
    <border>
      <left style="thin">
        <color rgb="FFFFCC66"/>
      </left>
      <right/>
      <top/>
      <bottom style="thin">
        <color rgb="FFFFCC66"/>
      </bottom>
      <diagonal/>
    </border>
    <border>
      <left/>
      <right style="thin">
        <color rgb="FFFFCC66"/>
      </right>
      <top style="thin">
        <color rgb="FFFFCC66"/>
      </top>
      <bottom style="thin">
        <color rgb="FFFFCC66"/>
      </bottom>
      <diagonal/>
    </border>
    <border>
      <left style="thin">
        <color rgb="FFFFCC66"/>
      </left>
      <right style="thin">
        <color rgb="FFFFCC66"/>
      </right>
      <top style="thin">
        <color rgb="FFFFCC66"/>
      </top>
      <bottom style="thin">
        <color rgb="FFFFCC66"/>
      </bottom>
      <diagonal/>
    </border>
    <border>
      <left style="thin">
        <color rgb="FFFFCC66"/>
      </left>
      <right/>
      <top style="thin">
        <color rgb="FFFFCC66"/>
      </top>
      <bottom style="thin">
        <color rgb="FFFFCC66"/>
      </bottom>
      <diagonal/>
    </border>
    <border>
      <left/>
      <right style="thin">
        <color rgb="FFFFFF00"/>
      </right>
      <top/>
      <bottom/>
      <diagonal/>
    </border>
    <border>
      <left style="thin">
        <color rgb="FFFFFF00"/>
      </left>
      <right style="thin">
        <color rgb="FFFFFF00"/>
      </right>
      <top/>
      <bottom/>
      <diagonal/>
    </border>
    <border>
      <left style="thin">
        <color rgb="FFFFFF00"/>
      </left>
      <right/>
      <top/>
      <bottom/>
      <diagonal/>
    </border>
    <border>
      <left/>
      <right style="thin">
        <color rgb="FFFFCC66"/>
      </right>
      <top style="hair">
        <color indexed="64"/>
      </top>
      <bottom style="thin">
        <color rgb="FFFFCC66"/>
      </bottom>
      <diagonal/>
    </border>
    <border>
      <left style="thin">
        <color rgb="FFFFCC66"/>
      </left>
      <right style="thin">
        <color rgb="FFFFCC66"/>
      </right>
      <top style="hair">
        <color indexed="64"/>
      </top>
      <bottom style="thin">
        <color rgb="FFFFCC66"/>
      </bottom>
      <diagonal/>
    </border>
    <border>
      <left/>
      <right style="thin">
        <color rgb="FFFFFF00"/>
      </right>
      <top/>
      <bottom style="hair">
        <color indexed="64"/>
      </bottom>
      <diagonal/>
    </border>
    <border>
      <left style="thin">
        <color rgb="FFFFFF00"/>
      </left>
      <right style="thin">
        <color rgb="FFFFFF00"/>
      </right>
      <top/>
      <bottom style="hair">
        <color indexed="64"/>
      </bottom>
      <diagonal/>
    </border>
    <border>
      <left/>
      <right/>
      <top style="hair">
        <color indexed="64"/>
      </top>
      <bottom style="thin">
        <color rgb="FFFFCC66"/>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medium">
        <color rgb="FF000000"/>
      </left>
      <right style="thin">
        <color rgb="FF000000"/>
      </right>
      <top style="thin">
        <color indexed="64"/>
      </top>
      <bottom style="hair">
        <color rgb="FF000000"/>
      </bottom>
      <diagonal/>
    </border>
    <border>
      <left style="thin">
        <color rgb="FF000000"/>
      </left>
      <right style="medium">
        <color rgb="FF000000"/>
      </right>
      <top style="thin">
        <color indexed="64"/>
      </top>
      <bottom style="hair">
        <color rgb="FF000000"/>
      </bottom>
      <diagonal/>
    </border>
    <border>
      <left style="thin">
        <color rgb="FF000000"/>
      </left>
      <right/>
      <top style="hair">
        <color rgb="FF000000"/>
      </top>
      <bottom style="hair">
        <color rgb="FF000000"/>
      </bottom>
      <diagonal/>
    </border>
    <border>
      <left/>
      <right style="thin">
        <color rgb="FFFEF5CE"/>
      </right>
      <top/>
      <bottom style="thin">
        <color indexed="64"/>
      </bottom>
      <diagonal/>
    </border>
    <border>
      <left style="thin">
        <color rgb="FFFEF5CE"/>
      </left>
      <right style="thin">
        <color rgb="FFFEF5CE"/>
      </right>
      <top/>
      <bottom style="thin">
        <color indexed="64"/>
      </bottom>
      <diagonal/>
    </border>
    <border>
      <left style="thin">
        <color rgb="FFFEF5CE"/>
      </left>
      <right/>
      <top/>
      <bottom style="thin">
        <color indexed="64"/>
      </bottom>
      <diagonal/>
    </border>
    <border>
      <left style="thin">
        <color rgb="FF00000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top/>
      <bottom style="thin">
        <color indexed="64"/>
      </bottom>
      <diagonal/>
    </border>
    <border>
      <left/>
      <right style="thin">
        <color theme="0"/>
      </right>
      <top/>
      <bottom/>
      <diagonal/>
    </border>
    <border>
      <left style="thin">
        <color theme="0"/>
      </left>
      <right/>
      <top/>
      <bottom/>
      <diagonal/>
    </border>
  </borders>
  <cellStyleXfs count="200">
    <xf numFmtId="0" fontId="0" fillId="0" borderId="0"/>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1" fillId="2" borderId="0" applyBorder="0" applyAlignment="0">
      <protection hidden="1"/>
    </xf>
    <xf numFmtId="49" fontId="12" fillId="2" borderId="0" applyBorder="0">
      <alignment horizontal="left" vertical="center"/>
      <protection hidden="1"/>
    </xf>
    <xf numFmtId="0" fontId="13" fillId="3" borderId="0" applyNumberFormat="0" applyBorder="0" applyAlignment="0">
      <protection hidden="1"/>
    </xf>
    <xf numFmtId="174" fontId="14" fillId="4" borderId="1">
      <alignment horizontal="center"/>
      <protection hidden="1"/>
    </xf>
    <xf numFmtId="174" fontId="15" fillId="5" borderId="1">
      <alignment horizontal="center"/>
      <protection hidden="1"/>
    </xf>
    <xf numFmtId="0" fontId="9" fillId="5" borderId="0" applyNumberFormat="0" applyBorder="0" applyAlignment="0" applyProtection="0"/>
    <xf numFmtId="174" fontId="16" fillId="6" borderId="1">
      <alignment horizontal="center"/>
      <protection hidden="1"/>
    </xf>
    <xf numFmtId="0" fontId="9" fillId="6" borderId="0" applyNumberFormat="0" applyBorder="0" applyAlignment="0" applyProtection="0"/>
    <xf numFmtId="1" fontId="17"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1" fontId="18" fillId="7" borderId="0" applyBorder="0" applyAlignment="0" applyProtection="0"/>
    <xf numFmtId="0" fontId="19" fillId="8" borderId="0" applyNumberFormat="0" applyBorder="0">
      <alignment vertical="center"/>
      <protection hidden="1"/>
    </xf>
    <xf numFmtId="1" fontId="20"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1" fillId="0" borderId="0" applyFill="0" applyBorder="0" applyAlignment="0" applyProtection="0"/>
    <xf numFmtId="1" fontId="22"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1" fontId="23" fillId="0" borderId="0" applyFill="0" applyBorder="0" applyAlignment="0" applyProtection="0"/>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49" fontId="24" fillId="9" borderId="0" applyBorder="0" applyAlignment="0">
      <protection hidden="1"/>
    </xf>
    <xf numFmtId="0" fontId="25" fillId="10" borderId="0" applyNumberFormat="0" applyBorder="0" applyAlignment="0" applyProtection="0"/>
    <xf numFmtId="49" fontId="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0" fontId="6" fillId="8" borderId="1" applyNumberFormat="0" applyAlignment="0">
      <protection hidden="1"/>
    </xf>
    <xf numFmtId="1" fontId="27" fillId="11" borderId="1">
      <alignment horizontal="center" vertical="center"/>
      <protection hidden="1"/>
    </xf>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8" fillId="12" borderId="0" applyBorder="0" applyAlignment="0" applyProtection="0"/>
    <xf numFmtId="49" fontId="29"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49" fontId="30" fillId="13" borderId="0" applyBorder="0" applyAlignment="0" applyProtection="0"/>
    <xf numFmtId="0" fontId="4"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4" fillId="13" borderId="0" applyNumberFormat="0" applyBorder="0" applyAlignment="0" applyProtection="0"/>
    <xf numFmtId="49" fontId="32"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49" fontId="33" fillId="14" borderId="0" applyBorder="0" applyAlignment="0" applyProtection="0"/>
    <xf numFmtId="1" fontId="34"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1" fontId="35" fillId="0" borderId="0" applyFill="0" applyBorder="0" applyAlignment="0" applyProtection="0"/>
    <xf numFmtId="49" fontId="25"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49" fontId="36" fillId="0" borderId="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8" borderId="2" applyNumberFormat="0">
      <alignment horizontal="left" vertical="center"/>
      <protection hidden="1"/>
    </xf>
    <xf numFmtId="49" fontId="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49" fontId="26" fillId="0" borderId="0" applyBorder="0" applyAlignment="0" applyProtection="0"/>
    <xf numFmtId="0" fontId="9" fillId="15" borderId="3" applyNumberFormat="0" applyAlignment="0" applyProtection="0"/>
    <xf numFmtId="0" fontId="9" fillId="11" borderId="0" applyNumberFormat="0" applyBorder="0" applyAlignment="0" applyProtection="0"/>
    <xf numFmtId="0" fontId="37" fillId="16" borderId="0" applyNumberFormat="0">
      <alignment horizontal="left" vertical="center"/>
      <protection hidden="1"/>
    </xf>
    <xf numFmtId="0" fontId="38" fillId="16" borderId="4">
      <alignment horizontal="center" vertical="center"/>
      <protection hidden="1"/>
    </xf>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39"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1" fontId="40" fillId="7" borderId="0" applyBorder="0" applyAlignment="0" applyProtection="0"/>
    <xf numFmtId="0" fontId="8" fillId="16" borderId="0" applyNumberFormat="0" applyBorder="0" applyAlignment="0" applyProtection="0"/>
    <xf numFmtId="0" fontId="3" fillId="0" borderId="0"/>
    <xf numFmtId="0" fontId="4" fillId="0" borderId="0"/>
    <xf numFmtId="0" fontId="2" fillId="0" borderId="0"/>
    <xf numFmtId="0" fontId="78" fillId="0" borderId="0" applyNumberFormat="0" applyFill="0" applyBorder="0" applyAlignment="0" applyProtection="0"/>
    <xf numFmtId="0" fontId="1" fillId="0" borderId="0"/>
  </cellStyleXfs>
  <cellXfs count="712">
    <xf numFmtId="0" fontId="0" fillId="0" borderId="0" xfId="0"/>
    <xf numFmtId="0" fontId="41" fillId="0" borderId="0" xfId="0" applyFont="1"/>
    <xf numFmtId="0" fontId="41" fillId="0" borderId="0" xfId="0" applyFont="1" applyAlignment="1">
      <alignment horizontal="center"/>
    </xf>
    <xf numFmtId="0" fontId="41" fillId="0" borderId="0" xfId="0" applyFont="1" applyAlignment="1">
      <alignment horizontal="right"/>
    </xf>
    <xf numFmtId="0" fontId="48" fillId="0" borderId="0" xfId="0" applyFont="1"/>
    <xf numFmtId="0" fontId="48" fillId="0" borderId="0" xfId="0" applyFont="1" applyFill="1"/>
    <xf numFmtId="0" fontId="44" fillId="0" borderId="0" xfId="0" applyFont="1"/>
    <xf numFmtId="0" fontId="44" fillId="0" borderId="0" xfId="0" applyFont="1" applyFill="1"/>
    <xf numFmtId="0" fontId="41" fillId="0" borderId="0" xfId="0" applyFont="1" applyAlignment="1">
      <alignment horizontal="center" vertical="top"/>
    </xf>
    <xf numFmtId="0" fontId="43" fillId="0" borderId="0" xfId="0" applyFont="1" applyAlignment="1">
      <alignment horizontal="center"/>
    </xf>
    <xf numFmtId="0" fontId="41" fillId="0" borderId="0" xfId="0" applyFont="1" applyBorder="1"/>
    <xf numFmtId="0" fontId="41" fillId="0" borderId="0" xfId="0" applyFont="1" applyFill="1"/>
    <xf numFmtId="0" fontId="42" fillId="0" borderId="0" xfId="0" applyFont="1" applyFill="1" applyAlignment="1">
      <alignment vertical="top"/>
    </xf>
    <xf numFmtId="0" fontId="43" fillId="0" borderId="0" xfId="0" applyFont="1" applyFill="1" applyAlignment="1">
      <alignment vertical="top"/>
    </xf>
    <xf numFmtId="0" fontId="44" fillId="0" borderId="0" xfId="0" applyFont="1" applyAlignment="1">
      <alignment horizontal="center"/>
    </xf>
    <xf numFmtId="0" fontId="44" fillId="0" borderId="0" xfId="0" applyFont="1" applyAlignment="1">
      <alignment horizontal="center" vertical="top"/>
    </xf>
    <xf numFmtId="0" fontId="41" fillId="0" borderId="0" xfId="0" applyFont="1" applyAlignment="1">
      <alignment vertical="top"/>
    </xf>
    <xf numFmtId="0" fontId="41" fillId="18" borderId="0" xfId="0" applyFont="1" applyFill="1"/>
    <xf numFmtId="0" fontId="56" fillId="18" borderId="12" xfId="0" applyFont="1" applyFill="1" applyBorder="1" applyAlignment="1">
      <alignment horizontal="center" vertical="center" wrapText="1"/>
    </xf>
    <xf numFmtId="0" fontId="56" fillId="18" borderId="7" xfId="0" applyFont="1" applyFill="1" applyBorder="1" applyAlignment="1">
      <alignment vertical="center"/>
    </xf>
    <xf numFmtId="0" fontId="56" fillId="18" borderId="8" xfId="0" applyFont="1" applyFill="1" applyBorder="1" applyAlignment="1">
      <alignment vertical="center"/>
    </xf>
    <xf numFmtId="0" fontId="41" fillId="18" borderId="14" xfId="0" applyFont="1" applyFill="1" applyBorder="1" applyAlignment="1">
      <alignment horizontal="center"/>
    </xf>
    <xf numFmtId="167" fontId="41" fillId="18" borderId="15" xfId="0" applyNumberFormat="1" applyFont="1" applyFill="1" applyBorder="1" applyAlignment="1">
      <alignment horizontal="right"/>
    </xf>
    <xf numFmtId="167" fontId="41" fillId="18" borderId="16" xfId="0" applyNumberFormat="1" applyFont="1" applyFill="1" applyBorder="1" applyAlignment="1">
      <alignment horizontal="right"/>
    </xf>
    <xf numFmtId="2" fontId="41" fillId="0" borderId="15" xfId="0" applyNumberFormat="1" applyFont="1" applyBorder="1"/>
    <xf numFmtId="2" fontId="41" fillId="0" borderId="16" xfId="0" applyNumberFormat="1" applyFont="1" applyBorder="1"/>
    <xf numFmtId="2" fontId="57" fillId="0" borderId="15" xfId="0" applyNumberFormat="1" applyFont="1" applyBorder="1"/>
    <xf numFmtId="2" fontId="57" fillId="0" borderId="16" xfId="0" applyNumberFormat="1" applyFont="1" applyBorder="1"/>
    <xf numFmtId="0" fontId="54" fillId="0" borderId="0" xfId="0" applyFont="1" applyFill="1" applyBorder="1" applyAlignment="1" applyProtection="1">
      <protection hidden="1"/>
    </xf>
    <xf numFmtId="2" fontId="41" fillId="0" borderId="0" xfId="0" applyNumberFormat="1" applyFont="1" applyBorder="1"/>
    <xf numFmtId="0" fontId="41" fillId="18" borderId="17" xfId="0" applyFont="1" applyFill="1" applyBorder="1" applyAlignment="1">
      <alignment horizontal="center"/>
    </xf>
    <xf numFmtId="2" fontId="41" fillId="0" borderId="18" xfId="0" applyNumberFormat="1" applyFont="1" applyBorder="1"/>
    <xf numFmtId="2" fontId="57" fillId="0" borderId="18" xfId="0" applyNumberFormat="1" applyFont="1" applyBorder="1"/>
    <xf numFmtId="2" fontId="57" fillId="0" borderId="19" xfId="0" applyNumberFormat="1" applyFont="1" applyBorder="1"/>
    <xf numFmtId="0" fontId="41" fillId="17" borderId="0" xfId="0" applyFont="1" applyFill="1"/>
    <xf numFmtId="0" fontId="56" fillId="17" borderId="0" xfId="0" applyFont="1" applyFill="1" applyAlignment="1">
      <alignment horizontal="center" vertical="center" wrapText="1"/>
    </xf>
    <xf numFmtId="0" fontId="41" fillId="17" borderId="0" xfId="0" applyFont="1" applyFill="1" applyAlignment="1">
      <alignment horizontal="center"/>
    </xf>
    <xf numFmtId="0" fontId="57" fillId="17" borderId="0" xfId="0" applyFont="1" applyFill="1" applyAlignment="1">
      <alignment horizontal="center"/>
    </xf>
    <xf numFmtId="3" fontId="41" fillId="17" borderId="0" xfId="0" applyNumberFormat="1" applyFont="1" applyFill="1" applyAlignment="1">
      <alignment horizontal="center"/>
    </xf>
    <xf numFmtId="0" fontId="58" fillId="0" borderId="0" xfId="0" applyFont="1"/>
    <xf numFmtId="0" fontId="48" fillId="17" borderId="0" xfId="0" applyFont="1" applyFill="1"/>
    <xf numFmtId="0" fontId="44" fillId="42" borderId="0" xfId="0" applyFont="1" applyFill="1"/>
    <xf numFmtId="0" fontId="48" fillId="42" borderId="0" xfId="0" applyFont="1" applyFill="1"/>
    <xf numFmtId="0" fontId="41" fillId="42" borderId="0" xfId="0" applyFont="1" applyFill="1"/>
    <xf numFmtId="0" fontId="43" fillId="42" borderId="0" xfId="0" applyFont="1" applyFill="1"/>
    <xf numFmtId="0" fontId="41" fillId="42" borderId="0" xfId="0" applyFont="1" applyFill="1" applyAlignment="1">
      <alignment horizontal="center"/>
    </xf>
    <xf numFmtId="0" fontId="58" fillId="41" borderId="0" xfId="0" applyFont="1" applyFill="1" applyAlignment="1">
      <alignment horizontal="center" vertical="top" wrapText="1"/>
    </xf>
    <xf numFmtId="0" fontId="58" fillId="41" borderId="0" xfId="0" applyFont="1" applyFill="1" applyAlignment="1">
      <alignment vertical="top"/>
    </xf>
    <xf numFmtId="0" fontId="58" fillId="41" borderId="0" xfId="0" applyFont="1" applyFill="1" applyAlignment="1">
      <alignment horizontal="right" vertical="top" wrapText="1"/>
    </xf>
    <xf numFmtId="0" fontId="58" fillId="42" borderId="0" xfId="0" applyFont="1" applyFill="1" applyAlignment="1">
      <alignment vertical="top"/>
    </xf>
    <xf numFmtId="0" fontId="41" fillId="0" borderId="32" xfId="0" applyFont="1" applyFill="1" applyBorder="1" applyAlignment="1">
      <alignment horizontal="center"/>
    </xf>
    <xf numFmtId="165" fontId="41" fillId="42" borderId="0" xfId="0" applyNumberFormat="1" applyFont="1" applyFill="1" applyAlignment="1">
      <alignment horizontal="center" vertical="top"/>
    </xf>
    <xf numFmtId="0" fontId="60" fillId="42" borderId="0" xfId="0" applyFont="1" applyFill="1" applyAlignment="1">
      <alignment vertical="top"/>
    </xf>
    <xf numFmtId="0" fontId="41" fillId="42" borderId="0" xfId="0" applyFont="1" applyFill="1" applyAlignment="1">
      <alignment vertical="top"/>
    </xf>
    <xf numFmtId="165" fontId="43" fillId="42" borderId="0" xfId="0" applyNumberFormat="1" applyFont="1" applyFill="1" applyAlignment="1">
      <alignment horizontal="left" vertical="top"/>
    </xf>
    <xf numFmtId="0" fontId="41" fillId="24" borderId="0" xfId="0" applyFont="1" applyFill="1"/>
    <xf numFmtId="0" fontId="61" fillId="42" borderId="0" xfId="0" applyFont="1" applyFill="1"/>
    <xf numFmtId="0" fontId="58" fillId="42" borderId="0" xfId="0" applyFont="1" applyFill="1" applyAlignment="1">
      <alignment horizontal="right" vertical="top" wrapText="1"/>
    </xf>
    <xf numFmtId="2" fontId="41" fillId="42" borderId="0" xfId="0" applyNumberFormat="1" applyFont="1" applyFill="1"/>
    <xf numFmtId="1" fontId="41" fillId="42" borderId="0" xfId="0" applyNumberFormat="1" applyFont="1" applyFill="1" applyAlignment="1">
      <alignment vertical="top"/>
    </xf>
    <xf numFmtId="1" fontId="41" fillId="42" borderId="0" xfId="0" applyNumberFormat="1" applyFont="1" applyFill="1"/>
    <xf numFmtId="165" fontId="41" fillId="0" borderId="32" xfId="0" applyNumberFormat="1" applyFont="1" applyFill="1" applyBorder="1" applyAlignment="1">
      <alignment horizontal="center"/>
    </xf>
    <xf numFmtId="165" fontId="41" fillId="0" borderId="33" xfId="0" applyNumberFormat="1" applyFont="1" applyFill="1" applyBorder="1" applyAlignment="1">
      <alignment horizontal="center"/>
    </xf>
    <xf numFmtId="0" fontId="62" fillId="42" borderId="0" xfId="0" applyFont="1" applyFill="1"/>
    <xf numFmtId="165" fontId="64" fillId="42" borderId="0" xfId="0" applyNumberFormat="1" applyFont="1" applyFill="1"/>
    <xf numFmtId="1" fontId="63" fillId="42" borderId="0" xfId="0" applyNumberFormat="1" applyFont="1" applyFill="1"/>
    <xf numFmtId="0" fontId="41" fillId="42" borderId="0" xfId="0" applyFont="1" applyFill="1" applyAlignment="1">
      <alignment horizontal="right"/>
    </xf>
    <xf numFmtId="174" fontId="41" fillId="0" borderId="32" xfId="0" applyNumberFormat="1" applyFont="1" applyFill="1" applyBorder="1" applyAlignment="1">
      <alignment horizontal="center"/>
    </xf>
    <xf numFmtId="174" fontId="41" fillId="0" borderId="33" xfId="0" applyNumberFormat="1" applyFont="1" applyFill="1" applyBorder="1" applyAlignment="1">
      <alignment horizontal="center"/>
    </xf>
    <xf numFmtId="0" fontId="41" fillId="42" borderId="34" xfId="0" applyFont="1" applyFill="1" applyBorder="1"/>
    <xf numFmtId="164" fontId="41" fillId="42" borderId="0" xfId="0" applyNumberFormat="1" applyFont="1" applyFill="1" applyAlignment="1">
      <alignment horizontal="right"/>
    </xf>
    <xf numFmtId="0" fontId="45" fillId="42" borderId="0" xfId="0" applyFont="1" applyFill="1"/>
    <xf numFmtId="0" fontId="41" fillId="26" borderId="0" xfId="0" applyFont="1" applyFill="1"/>
    <xf numFmtId="0" fontId="45" fillId="26" borderId="0" xfId="0" applyFont="1" applyFill="1"/>
    <xf numFmtId="0" fontId="43" fillId="26" borderId="0" xfId="0" applyFont="1" applyFill="1"/>
    <xf numFmtId="0" fontId="41" fillId="26" borderId="0" xfId="0" applyFont="1" applyFill="1" applyBorder="1"/>
    <xf numFmtId="164" fontId="41" fillId="26" borderId="0" xfId="0" applyNumberFormat="1" applyFont="1" applyFill="1" applyBorder="1"/>
    <xf numFmtId="165" fontId="41" fillId="42" borderId="0" xfId="0" applyNumberFormat="1" applyFont="1" applyFill="1"/>
    <xf numFmtId="0" fontId="42" fillId="42" borderId="0" xfId="0" applyFont="1" applyFill="1" applyBorder="1"/>
    <xf numFmtId="0" fontId="44" fillId="42" borderId="0" xfId="0" applyFont="1" applyFill="1" applyBorder="1"/>
    <xf numFmtId="0" fontId="42" fillId="42" borderId="0" xfId="0" applyFont="1" applyFill="1" applyBorder="1" applyAlignment="1">
      <alignment horizontal="right"/>
    </xf>
    <xf numFmtId="1" fontId="42" fillId="42" borderId="0" xfId="0" applyNumberFormat="1" applyFont="1" applyFill="1" applyBorder="1"/>
    <xf numFmtId="164" fontId="44" fillId="42" borderId="42" xfId="0" applyNumberFormat="1" applyFont="1" applyFill="1" applyBorder="1" applyAlignment="1">
      <alignment horizontal="center"/>
    </xf>
    <xf numFmtId="0" fontId="41" fillId="42" borderId="0" xfId="0" applyFont="1" applyFill="1" applyBorder="1"/>
    <xf numFmtId="0" fontId="48" fillId="26" borderId="0" xfId="0" applyFont="1" applyFill="1" applyAlignment="1">
      <alignment vertical="top"/>
    </xf>
    <xf numFmtId="0" fontId="44" fillId="26" borderId="0" xfId="0" applyFont="1" applyFill="1" applyAlignment="1">
      <alignment vertical="top"/>
    </xf>
    <xf numFmtId="0" fontId="44" fillId="26" borderId="22" xfId="0" applyFont="1" applyFill="1" applyBorder="1" applyAlignment="1">
      <alignment vertical="top"/>
    </xf>
    <xf numFmtId="0" fontId="44" fillId="26" borderId="22" xfId="0" applyFont="1" applyFill="1" applyBorder="1" applyAlignment="1">
      <alignment horizontal="right" vertical="top"/>
    </xf>
    <xf numFmtId="0" fontId="44" fillId="26" borderId="0" xfId="0" applyFont="1" applyFill="1" applyBorder="1" applyAlignment="1">
      <alignment vertical="top"/>
    </xf>
    <xf numFmtId="0" fontId="44" fillId="26" borderId="0" xfId="0" applyFont="1" applyFill="1" applyBorder="1" applyAlignment="1">
      <alignment horizontal="right" vertical="top"/>
    </xf>
    <xf numFmtId="0" fontId="45" fillId="26" borderId="0" xfId="0" applyFont="1" applyFill="1" applyAlignment="1">
      <alignment vertical="top"/>
    </xf>
    <xf numFmtId="0" fontId="44" fillId="26" borderId="0" xfId="0" applyFont="1" applyFill="1" applyAlignment="1">
      <alignment horizontal="right" vertical="top"/>
    </xf>
    <xf numFmtId="164" fontId="44" fillId="26" borderId="0" xfId="0" applyNumberFormat="1" applyFont="1" applyFill="1" applyAlignment="1">
      <alignment vertical="top"/>
    </xf>
    <xf numFmtId="0" fontId="45" fillId="26" borderId="0" xfId="0" applyFont="1" applyFill="1" applyBorder="1" applyAlignment="1">
      <alignment vertical="top"/>
    </xf>
    <xf numFmtId="0" fontId="44" fillId="26" borderId="0" xfId="0" applyFont="1" applyFill="1" applyBorder="1" applyAlignment="1">
      <alignment horizontal="center" vertical="top"/>
    </xf>
    <xf numFmtId="164" fontId="44" fillId="26" borderId="0" xfId="0" applyNumberFormat="1" applyFont="1" applyFill="1" applyBorder="1" applyAlignment="1">
      <alignment vertical="top"/>
    </xf>
    <xf numFmtId="0" fontId="44" fillId="26" borderId="23" xfId="0" applyFont="1" applyFill="1" applyBorder="1" applyAlignment="1">
      <alignment vertical="top"/>
    </xf>
    <xf numFmtId="164" fontId="44" fillId="26" borderId="22" xfId="0" applyNumberFormat="1" applyFont="1" applyFill="1" applyBorder="1" applyAlignment="1">
      <alignment horizontal="right" vertical="top"/>
    </xf>
    <xf numFmtId="164" fontId="44" fillId="26" borderId="0" xfId="0" applyNumberFormat="1" applyFont="1" applyFill="1" applyBorder="1" applyAlignment="1">
      <alignment horizontal="right" vertical="top"/>
    </xf>
    <xf numFmtId="164" fontId="44" fillId="26" borderId="22" xfId="0" applyNumberFormat="1" applyFont="1" applyFill="1" applyBorder="1" applyAlignment="1">
      <alignment vertical="top"/>
    </xf>
    <xf numFmtId="0" fontId="41" fillId="42" borderId="0" xfId="0" applyFont="1" applyFill="1" applyBorder="1" applyAlignment="1">
      <alignment vertical="top"/>
    </xf>
    <xf numFmtId="0" fontId="41" fillId="42" borderId="0" xfId="0" applyFont="1" applyFill="1" applyBorder="1" applyAlignment="1">
      <alignment horizontal="center" vertical="top"/>
    </xf>
    <xf numFmtId="0" fontId="44" fillId="42" borderId="0" xfId="0" applyFont="1" applyFill="1" applyBorder="1" applyAlignment="1">
      <alignment vertical="top"/>
    </xf>
    <xf numFmtId="0" fontId="45" fillId="42" borderId="0" xfId="0" applyFont="1" applyFill="1" applyBorder="1" applyAlignment="1">
      <alignment vertical="top"/>
    </xf>
    <xf numFmtId="0" fontId="44" fillId="42" borderId="0" xfId="0" applyFont="1" applyFill="1" applyBorder="1" applyAlignment="1">
      <alignment horizontal="center" vertical="top"/>
    </xf>
    <xf numFmtId="169" fontId="41" fillId="42" borderId="0" xfId="0" applyNumberFormat="1" applyFont="1" applyFill="1" applyBorder="1" applyAlignment="1">
      <alignment horizontal="center" vertical="top"/>
    </xf>
    <xf numFmtId="0" fontId="58" fillId="42" borderId="0" xfId="0" applyFont="1" applyFill="1" applyBorder="1" applyAlignment="1">
      <alignment vertical="top"/>
    </xf>
    <xf numFmtId="0" fontId="58" fillId="42" borderId="0" xfId="0" applyFont="1" applyFill="1"/>
    <xf numFmtId="0" fontId="41" fillId="42" borderId="0" xfId="0" applyFont="1" applyFill="1" applyBorder="1" applyAlignment="1">
      <alignment horizontal="left" vertical="top"/>
    </xf>
    <xf numFmtId="178" fontId="41" fillId="43" borderId="41" xfId="0" applyNumberFormat="1" applyFont="1" applyFill="1" applyBorder="1"/>
    <xf numFmtId="178" fontId="41" fillId="42" borderId="0" xfId="0" applyNumberFormat="1" applyFont="1" applyFill="1" applyAlignment="1">
      <alignment horizontal="left"/>
    </xf>
    <xf numFmtId="0" fontId="41" fillId="0" borderId="32" xfId="0" applyFont="1" applyFill="1" applyBorder="1"/>
    <xf numFmtId="0" fontId="41" fillId="0" borderId="33" xfId="0" applyFont="1" applyFill="1" applyBorder="1"/>
    <xf numFmtId="2" fontId="41" fillId="42" borderId="0" xfId="0" applyNumberFormat="1" applyFont="1" applyFill="1" applyAlignment="1">
      <alignment horizontal="right"/>
    </xf>
    <xf numFmtId="0" fontId="41" fillId="42" borderId="43" xfId="0" quotePrefix="1" applyFont="1" applyFill="1" applyBorder="1" applyAlignment="1">
      <alignment horizontal="center"/>
    </xf>
    <xf numFmtId="0" fontId="41" fillId="42" borderId="0" xfId="0" applyFont="1" applyFill="1" applyAlignment="1">
      <alignment horizontal="left"/>
    </xf>
    <xf numFmtId="0" fontId="58" fillId="42" borderId="0" xfId="0" applyFont="1" applyFill="1" applyBorder="1" applyAlignment="1">
      <alignment horizontal="center" vertical="top"/>
    </xf>
    <xf numFmtId="0" fontId="58" fillId="42" borderId="0" xfId="0" applyFont="1" applyFill="1" applyBorder="1" applyAlignment="1">
      <alignment horizontal="left" vertical="top"/>
    </xf>
    <xf numFmtId="170" fontId="41" fillId="42" borderId="0" xfId="0" applyNumberFormat="1" applyFont="1" applyFill="1" applyBorder="1" applyAlignment="1">
      <alignment horizontal="left" vertical="top"/>
    </xf>
    <xf numFmtId="164" fontId="41" fillId="42" borderId="0" xfId="0" applyNumberFormat="1" applyFont="1" applyFill="1" applyAlignment="1">
      <alignment horizontal="left"/>
    </xf>
    <xf numFmtId="0" fontId="41" fillId="41" borderId="0" xfId="0" applyFont="1" applyFill="1" applyBorder="1"/>
    <xf numFmtId="0" fontId="64" fillId="42" borderId="32" xfId="0" applyFont="1" applyFill="1" applyBorder="1" applyAlignment="1">
      <alignment horizontal="center"/>
    </xf>
    <xf numFmtId="0" fontId="41" fillId="42" borderId="44" xfId="0" applyFont="1" applyFill="1" applyBorder="1" applyAlignment="1">
      <alignment vertical="top"/>
    </xf>
    <xf numFmtId="169" fontId="41" fillId="42" borderId="44" xfId="0" applyNumberFormat="1" applyFont="1" applyFill="1" applyBorder="1" applyAlignment="1">
      <alignment horizontal="left" vertical="top"/>
    </xf>
    <xf numFmtId="170" fontId="41" fillId="42" borderId="44" xfId="0" applyNumberFormat="1" applyFont="1" applyFill="1" applyBorder="1" applyAlignment="1">
      <alignment horizontal="left" vertical="top"/>
    </xf>
    <xf numFmtId="0" fontId="68" fillId="42" borderId="44" xfId="0" applyFont="1" applyFill="1" applyBorder="1" applyAlignment="1">
      <alignment horizontal="left" vertical="top"/>
    </xf>
    <xf numFmtId="0" fontId="41" fillId="42" borderId="45" xfId="0" applyFont="1" applyFill="1" applyBorder="1" applyAlignment="1">
      <alignment vertical="top"/>
    </xf>
    <xf numFmtId="169" fontId="41" fillId="42" borderId="45" xfId="0" applyNumberFormat="1" applyFont="1" applyFill="1" applyBorder="1" applyAlignment="1">
      <alignment horizontal="left" vertical="top"/>
    </xf>
    <xf numFmtId="170" fontId="41" fillId="42" borderId="45" xfId="0" applyNumberFormat="1" applyFont="1" applyFill="1" applyBorder="1" applyAlignment="1">
      <alignment horizontal="left" vertical="top"/>
    </xf>
    <xf numFmtId="0" fontId="68" fillId="42" borderId="45" xfId="0" applyFont="1" applyFill="1" applyBorder="1" applyAlignment="1">
      <alignment horizontal="left" vertical="top"/>
    </xf>
    <xf numFmtId="0" fontId="41" fillId="42" borderId="44" xfId="0" applyFont="1" applyFill="1" applyBorder="1"/>
    <xf numFmtId="0" fontId="41" fillId="42" borderId="45" xfId="0" applyFont="1" applyFill="1" applyBorder="1"/>
    <xf numFmtId="170" fontId="41" fillId="42" borderId="45" xfId="0" applyNumberFormat="1" applyFont="1" applyFill="1" applyBorder="1" applyAlignment="1">
      <alignment horizontal="left"/>
    </xf>
    <xf numFmtId="0" fontId="41" fillId="42" borderId="45" xfId="0" applyFont="1" applyFill="1" applyBorder="1" applyAlignment="1">
      <alignment horizontal="left"/>
    </xf>
    <xf numFmtId="178" fontId="41" fillId="42" borderId="45" xfId="0" applyNumberFormat="1" applyFont="1" applyFill="1" applyBorder="1" applyAlignment="1">
      <alignment horizontal="left"/>
    </xf>
    <xf numFmtId="174" fontId="41" fillId="42" borderId="44" xfId="0" applyNumberFormat="1" applyFont="1" applyFill="1" applyBorder="1" applyAlignment="1">
      <alignment horizontal="left"/>
    </xf>
    <xf numFmtId="170" fontId="41" fillId="42" borderId="44" xfId="0" applyNumberFormat="1" applyFont="1" applyFill="1" applyBorder="1" applyAlignment="1">
      <alignment horizontal="left"/>
    </xf>
    <xf numFmtId="174" fontId="41" fillId="42" borderId="45" xfId="0" applyNumberFormat="1" applyFont="1" applyFill="1" applyBorder="1" applyAlignment="1">
      <alignment horizontal="left"/>
    </xf>
    <xf numFmtId="9" fontId="41" fillId="42" borderId="44" xfId="0" applyNumberFormat="1" applyFont="1" applyFill="1" applyBorder="1" applyAlignment="1">
      <alignment horizontal="left"/>
    </xf>
    <xf numFmtId="171" fontId="41" fillId="42" borderId="44" xfId="0" applyNumberFormat="1" applyFont="1" applyFill="1" applyBorder="1"/>
    <xf numFmtId="9" fontId="41" fillId="42" borderId="45" xfId="0" applyNumberFormat="1" applyFont="1" applyFill="1" applyBorder="1" applyAlignment="1">
      <alignment horizontal="left"/>
    </xf>
    <xf numFmtId="179" fontId="41" fillId="42" borderId="45" xfId="0" applyNumberFormat="1" applyFont="1" applyFill="1" applyBorder="1" applyAlignment="1">
      <alignment horizontal="left"/>
    </xf>
    <xf numFmtId="171" fontId="41" fillId="42" borderId="45" xfId="0" applyNumberFormat="1" applyFont="1" applyFill="1" applyBorder="1"/>
    <xf numFmtId="0" fontId="45" fillId="42" borderId="44" xfId="0" applyFont="1" applyFill="1" applyBorder="1" applyAlignment="1">
      <alignment horizontal="left" vertical="top"/>
    </xf>
    <xf numFmtId="169" fontId="41" fillId="42" borderId="44" xfId="0" applyNumberFormat="1" applyFont="1" applyFill="1" applyBorder="1" applyAlignment="1">
      <alignment horizontal="center" vertical="top"/>
    </xf>
    <xf numFmtId="0" fontId="41" fillId="42" borderId="44" xfId="0" applyFont="1" applyFill="1" applyBorder="1" applyAlignment="1">
      <alignment horizontal="center" vertical="top"/>
    </xf>
    <xf numFmtId="175" fontId="41" fillId="0" borderId="44" xfId="0" applyNumberFormat="1" applyFont="1" applyFill="1" applyBorder="1" applyAlignment="1">
      <alignment horizontal="left" vertical="top"/>
    </xf>
    <xf numFmtId="178" fontId="41" fillId="42" borderId="44" xfId="0" applyNumberFormat="1" applyFont="1" applyFill="1" applyBorder="1" applyAlignment="1">
      <alignment horizontal="left"/>
    </xf>
    <xf numFmtId="0" fontId="43" fillId="42" borderId="44" xfId="0" applyFont="1" applyFill="1" applyBorder="1"/>
    <xf numFmtId="168" fontId="43" fillId="42" borderId="44" xfId="0" applyNumberFormat="1" applyFont="1" applyFill="1" applyBorder="1" applyAlignment="1">
      <alignment horizontal="left"/>
    </xf>
    <xf numFmtId="0" fontId="41" fillId="42" borderId="44" xfId="0" applyFont="1" applyFill="1" applyBorder="1" applyAlignment="1">
      <alignment horizontal="left"/>
    </xf>
    <xf numFmtId="1" fontId="41" fillId="42" borderId="44" xfId="0" applyNumberFormat="1" applyFont="1" applyFill="1" applyBorder="1" applyAlignment="1">
      <alignment horizontal="right"/>
    </xf>
    <xf numFmtId="0" fontId="41" fillId="42" borderId="44" xfId="0" applyFont="1" applyFill="1" applyBorder="1" applyAlignment="1">
      <alignment horizontal="right"/>
    </xf>
    <xf numFmtId="2" fontId="41" fillId="42" borderId="44" xfId="0" applyNumberFormat="1" applyFont="1" applyFill="1" applyBorder="1" applyAlignment="1">
      <alignment horizontal="right"/>
    </xf>
    <xf numFmtId="1" fontId="41" fillId="42" borderId="45" xfId="0" applyNumberFormat="1" applyFont="1" applyFill="1" applyBorder="1" applyAlignment="1">
      <alignment horizontal="right"/>
    </xf>
    <xf numFmtId="0" fontId="41" fillId="42" borderId="45" xfId="0" applyFont="1" applyFill="1" applyBorder="1" applyAlignment="1">
      <alignment horizontal="right"/>
    </xf>
    <xf numFmtId="2" fontId="41" fillId="42" borderId="45" xfId="0" applyNumberFormat="1" applyFont="1" applyFill="1" applyBorder="1" applyAlignment="1">
      <alignment horizontal="right"/>
    </xf>
    <xf numFmtId="0" fontId="41" fillId="42" borderId="44" xfId="0" applyFont="1" applyFill="1" applyBorder="1" applyAlignment="1">
      <alignment horizontal="center"/>
    </xf>
    <xf numFmtId="0" fontId="41" fillId="42" borderId="45" xfId="0" applyFont="1" applyFill="1" applyBorder="1" applyAlignment="1">
      <alignment horizontal="center"/>
    </xf>
    <xf numFmtId="2" fontId="41" fillId="42" borderId="45" xfId="0" applyNumberFormat="1" applyFont="1" applyFill="1" applyBorder="1" applyAlignment="1">
      <alignment horizontal="left"/>
    </xf>
    <xf numFmtId="170" fontId="41" fillId="42" borderId="0" xfId="0" applyNumberFormat="1" applyFont="1" applyFill="1" applyBorder="1" applyAlignment="1">
      <alignment horizontal="right"/>
    </xf>
    <xf numFmtId="164" fontId="41" fillId="42" borderId="0" xfId="0" applyNumberFormat="1" applyFont="1" applyFill="1" applyBorder="1" applyAlignment="1">
      <alignment horizontal="right"/>
    </xf>
    <xf numFmtId="164" fontId="41" fillId="42" borderId="44" xfId="0" applyNumberFormat="1" applyFont="1" applyFill="1" applyBorder="1" applyAlignment="1">
      <alignment horizontal="right"/>
    </xf>
    <xf numFmtId="164" fontId="41" fillId="42" borderId="45" xfId="0" applyNumberFormat="1" applyFont="1" applyFill="1" applyBorder="1" applyAlignment="1">
      <alignment horizontal="right"/>
    </xf>
    <xf numFmtId="170" fontId="41" fillId="42" borderId="44" xfId="0" applyNumberFormat="1" applyFont="1" applyFill="1" applyBorder="1" applyAlignment="1">
      <alignment horizontal="right"/>
    </xf>
    <xf numFmtId="0" fontId="44" fillId="42" borderId="44" xfId="0" applyFont="1" applyFill="1" applyBorder="1"/>
    <xf numFmtId="0" fontId="44" fillId="42" borderId="44" xfId="0" applyFont="1" applyFill="1" applyBorder="1" applyAlignment="1">
      <alignment horizontal="center"/>
    </xf>
    <xf numFmtId="0" fontId="41" fillId="42" borderId="46" xfId="0" applyFont="1" applyFill="1" applyBorder="1"/>
    <xf numFmtId="0" fontId="41" fillId="42" borderId="46" xfId="0" applyFont="1" applyFill="1" applyBorder="1" applyAlignment="1">
      <alignment horizontal="center"/>
    </xf>
    <xf numFmtId="166" fontId="41" fillId="42" borderId="44" xfId="0" applyNumberFormat="1" applyFont="1" applyFill="1" applyBorder="1" applyAlignment="1">
      <alignment horizontal="right"/>
    </xf>
    <xf numFmtId="166" fontId="41" fillId="42" borderId="45" xfId="0" applyNumberFormat="1" applyFont="1" applyFill="1" applyBorder="1" applyAlignment="1">
      <alignment horizontal="right"/>
    </xf>
    <xf numFmtId="9" fontId="41" fillId="42" borderId="44" xfId="0" applyNumberFormat="1" applyFont="1" applyFill="1" applyBorder="1" applyAlignment="1">
      <alignment horizontal="right"/>
    </xf>
    <xf numFmtId="172" fontId="41" fillId="42" borderId="45" xfId="0" applyNumberFormat="1" applyFont="1" applyFill="1" applyBorder="1" applyAlignment="1">
      <alignment horizontal="center"/>
    </xf>
    <xf numFmtId="174" fontId="41" fillId="42" borderId="44" xfId="0" applyNumberFormat="1" applyFont="1" applyFill="1" applyBorder="1" applyAlignment="1">
      <alignment horizontal="center"/>
    </xf>
    <xf numFmtId="174" fontId="41" fillId="42" borderId="45" xfId="0" applyNumberFormat="1" applyFont="1" applyFill="1" applyBorder="1" applyAlignment="1">
      <alignment horizontal="center"/>
    </xf>
    <xf numFmtId="168" fontId="41" fillId="42" borderId="44" xfId="0" applyNumberFormat="1" applyFont="1" applyFill="1" applyBorder="1" applyAlignment="1">
      <alignment horizontal="right"/>
    </xf>
    <xf numFmtId="168" fontId="41" fillId="42" borderId="45" xfId="0" applyNumberFormat="1" applyFont="1" applyFill="1" applyBorder="1" applyAlignment="1">
      <alignment horizontal="right"/>
    </xf>
    <xf numFmtId="176" fontId="41" fillId="0" borderId="32" xfId="0" applyNumberFormat="1" applyFont="1" applyFill="1" applyBorder="1" applyAlignment="1">
      <alignment horizontal="center"/>
    </xf>
    <xf numFmtId="0" fontId="54" fillId="0" borderId="0" xfId="0" applyFont="1" applyAlignment="1">
      <alignment vertical="top"/>
    </xf>
    <xf numFmtId="0" fontId="41" fillId="0" borderId="0" xfId="196" applyFont="1" applyAlignment="1">
      <alignment horizontal="center"/>
    </xf>
    <xf numFmtId="0" fontId="48" fillId="0" borderId="0" xfId="196" applyFont="1" applyBorder="1" applyAlignment="1">
      <alignment horizontal="left"/>
    </xf>
    <xf numFmtId="0" fontId="43" fillId="44" borderId="0" xfId="196" applyFont="1" applyFill="1" applyBorder="1" applyAlignment="1">
      <alignment horizontal="center"/>
    </xf>
    <xf numFmtId="181" fontId="41" fillId="19" borderId="0" xfId="196" applyNumberFormat="1" applyFont="1" applyFill="1" applyBorder="1" applyAlignment="1">
      <alignment horizontal="center"/>
    </xf>
    <xf numFmtId="2" fontId="41" fillId="19" borderId="0" xfId="196" applyNumberFormat="1" applyFont="1" applyFill="1" applyBorder="1" applyAlignment="1">
      <alignment horizontal="center"/>
    </xf>
    <xf numFmtId="180" fontId="41" fillId="0" borderId="44" xfId="0" applyNumberFormat="1" applyFont="1" applyFill="1" applyBorder="1" applyAlignment="1">
      <alignment horizontal="left"/>
    </xf>
    <xf numFmtId="186" fontId="41" fillId="42" borderId="44" xfId="0" applyNumberFormat="1" applyFont="1" applyFill="1" applyBorder="1" applyAlignment="1">
      <alignment horizontal="left"/>
    </xf>
    <xf numFmtId="0" fontId="41" fillId="42" borderId="44" xfId="0" applyFont="1" applyFill="1" applyBorder="1" applyAlignment="1">
      <alignment horizontal="left" vertical="top"/>
    </xf>
    <xf numFmtId="0" fontId="41" fillId="41" borderId="0" xfId="0" applyFont="1" applyFill="1"/>
    <xf numFmtId="0" fontId="41" fillId="41" borderId="0" xfId="0" applyFont="1" applyFill="1" applyBorder="1" applyAlignment="1">
      <alignment horizontal="left" vertical="top"/>
    </xf>
    <xf numFmtId="176" fontId="41" fillId="42" borderId="44" xfId="0" applyNumberFormat="1" applyFont="1" applyFill="1" applyBorder="1" applyAlignment="1">
      <alignment horizontal="left"/>
    </xf>
    <xf numFmtId="2" fontId="41" fillId="42" borderId="0" xfId="0" applyNumberFormat="1" applyFont="1" applyFill="1" applyAlignment="1">
      <alignment horizontal="right" vertical="top"/>
    </xf>
    <xf numFmtId="168" fontId="43" fillId="42" borderId="44" xfId="0" applyNumberFormat="1" applyFont="1" applyFill="1" applyBorder="1"/>
    <xf numFmtId="187" fontId="43" fillId="42" borderId="44" xfId="0" applyNumberFormat="1" applyFont="1" applyFill="1" applyBorder="1"/>
    <xf numFmtId="188" fontId="41" fillId="42" borderId="44" xfId="0" applyNumberFormat="1" applyFont="1" applyFill="1" applyBorder="1" applyAlignment="1">
      <alignment horizontal="left"/>
    </xf>
    <xf numFmtId="0" fontId="2" fillId="0" borderId="0" xfId="197"/>
    <xf numFmtId="0" fontId="72" fillId="0" borderId="0" xfId="197" applyFont="1" applyAlignment="1">
      <alignment horizontal="right"/>
    </xf>
    <xf numFmtId="0" fontId="72" fillId="0" borderId="0" xfId="197" applyFont="1" applyAlignment="1">
      <alignment horizontal="left"/>
    </xf>
    <xf numFmtId="0" fontId="72" fillId="0" borderId="0" xfId="197" applyFont="1"/>
    <xf numFmtId="0" fontId="74" fillId="0" borderId="0" xfId="197" applyFont="1" applyAlignment="1">
      <alignment horizontal="center" vertical="center"/>
    </xf>
    <xf numFmtId="0" fontId="74" fillId="0" borderId="0" xfId="197" applyFont="1" applyAlignment="1">
      <alignment horizontal="center"/>
    </xf>
    <xf numFmtId="0" fontId="74" fillId="0" borderId="0" xfId="197" applyFont="1"/>
    <xf numFmtId="0" fontId="75" fillId="44" borderId="22" xfId="197" applyFont="1" applyFill="1" applyBorder="1" applyAlignment="1">
      <alignment horizontal="center" vertical="center" wrapText="1"/>
    </xf>
    <xf numFmtId="0" fontId="72" fillId="19" borderId="0" xfId="197" applyFont="1" applyFill="1" applyAlignment="1">
      <alignment horizontal="center" vertical="center" wrapText="1"/>
    </xf>
    <xf numFmtId="0" fontId="75" fillId="0" borderId="0" xfId="197" applyFont="1" applyAlignment="1">
      <alignment horizontal="center" vertical="center" wrapText="1"/>
    </xf>
    <xf numFmtId="0" fontId="72" fillId="0" borderId="0" xfId="197" applyFont="1" applyAlignment="1">
      <alignment horizontal="center" vertical="center" wrapText="1"/>
    </xf>
    <xf numFmtId="0" fontId="75" fillId="0" borderId="0" xfId="197" applyFont="1" applyAlignment="1">
      <alignment horizontal="left"/>
    </xf>
    <xf numFmtId="190" fontId="41" fillId="42" borderId="0" xfId="0" applyNumberFormat="1" applyFont="1" applyFill="1" applyAlignment="1">
      <alignment horizontal="left"/>
    </xf>
    <xf numFmtId="173" fontId="41" fillId="42" borderId="0" xfId="0" applyNumberFormat="1" applyFont="1" applyFill="1" applyAlignment="1">
      <alignment horizontal="left"/>
    </xf>
    <xf numFmtId="183" fontId="41" fillId="42" borderId="44" xfId="0" applyNumberFormat="1" applyFont="1" applyFill="1" applyBorder="1" applyAlignment="1">
      <alignment horizontal="left"/>
    </xf>
    <xf numFmtId="0" fontId="41" fillId="42" borderId="44" xfId="0" quotePrefix="1" applyFont="1" applyFill="1" applyBorder="1"/>
    <xf numFmtId="0" fontId="41" fillId="26" borderId="0" xfId="0" applyFont="1" applyFill="1" applyBorder="1" applyAlignment="1">
      <alignment horizontal="right"/>
    </xf>
    <xf numFmtId="0" fontId="41" fillId="26" borderId="22" xfId="0" applyFont="1" applyFill="1" applyBorder="1"/>
    <xf numFmtId="0" fontId="41" fillId="26" borderId="22" xfId="0" applyFont="1" applyFill="1" applyBorder="1" applyAlignment="1">
      <alignment horizontal="right"/>
    </xf>
    <xf numFmtId="164" fontId="41" fillId="26" borderId="22" xfId="0" applyNumberFormat="1" applyFont="1" applyFill="1" applyBorder="1"/>
    <xf numFmtId="0" fontId="43" fillId="26" borderId="0" xfId="0" applyFont="1" applyFill="1" applyBorder="1"/>
    <xf numFmtId="0" fontId="43" fillId="26" borderId="0" xfId="0" applyFont="1" applyFill="1" applyBorder="1" applyAlignment="1">
      <alignment horizontal="right"/>
    </xf>
    <xf numFmtId="2" fontId="43" fillId="26" borderId="0" xfId="0" applyNumberFormat="1" applyFont="1" applyFill="1" applyBorder="1"/>
    <xf numFmtId="0" fontId="41" fillId="26" borderId="0" xfId="0" applyFont="1" applyFill="1" applyBorder="1" applyAlignment="1">
      <alignment vertical="top"/>
    </xf>
    <xf numFmtId="0" fontId="41" fillId="26" borderId="0" xfId="0" applyFont="1" applyFill="1" applyBorder="1" applyAlignment="1">
      <alignment horizontal="right" vertical="top"/>
    </xf>
    <xf numFmtId="164" fontId="41" fillId="26" borderId="0" xfId="0" applyNumberFormat="1" applyFont="1" applyFill="1" applyBorder="1" applyAlignment="1">
      <alignment vertical="top"/>
    </xf>
    <xf numFmtId="0" fontId="41" fillId="26" borderId="0" xfId="0" applyFont="1" applyFill="1" applyAlignment="1">
      <alignment vertical="top"/>
    </xf>
    <xf numFmtId="0" fontId="41" fillId="26" borderId="0" xfId="0" applyFont="1" applyFill="1" applyBorder="1" applyAlignment="1">
      <alignment horizontal="center" vertical="top"/>
    </xf>
    <xf numFmtId="164" fontId="41" fillId="26" borderId="0" xfId="0" applyNumberFormat="1" applyFont="1" applyFill="1" applyAlignment="1">
      <alignment vertical="top"/>
    </xf>
    <xf numFmtId="165" fontId="41" fillId="26" borderId="0" xfId="0" applyNumberFormat="1" applyFont="1" applyFill="1" applyBorder="1" applyAlignment="1">
      <alignment horizontal="right" vertical="top"/>
    </xf>
    <xf numFmtId="165" fontId="41" fillId="26" borderId="0" xfId="0" applyNumberFormat="1" applyFont="1" applyFill="1" applyAlignment="1">
      <alignment vertical="top"/>
    </xf>
    <xf numFmtId="0" fontId="41" fillId="26" borderId="0" xfId="0" quotePrefix="1" applyFont="1" applyFill="1" applyBorder="1" applyAlignment="1">
      <alignment horizontal="center" vertical="top"/>
    </xf>
    <xf numFmtId="0" fontId="41" fillId="26" borderId="22" xfId="0" applyFont="1" applyFill="1" applyBorder="1" applyAlignment="1">
      <alignment vertical="top"/>
    </xf>
    <xf numFmtId="0" fontId="41" fillId="26" borderId="22" xfId="0" applyFont="1" applyFill="1" applyBorder="1" applyAlignment="1">
      <alignment horizontal="right" vertical="top"/>
    </xf>
    <xf numFmtId="164" fontId="41" fillId="26" borderId="22" xfId="0" applyNumberFormat="1" applyFont="1" applyFill="1" applyBorder="1" applyAlignment="1">
      <alignment vertical="top"/>
    </xf>
    <xf numFmtId="0" fontId="43" fillId="26" borderId="0" xfId="0" applyFont="1" applyFill="1" applyBorder="1" applyAlignment="1">
      <alignment vertical="top"/>
    </xf>
    <xf numFmtId="0" fontId="43" fillId="26" borderId="0" xfId="0" applyFont="1" applyFill="1" applyBorder="1" applyAlignment="1">
      <alignment horizontal="right" vertical="top"/>
    </xf>
    <xf numFmtId="0" fontId="41" fillId="26" borderId="0" xfId="0" applyFont="1" applyFill="1" applyAlignment="1">
      <alignment horizontal="right" vertical="top"/>
    </xf>
    <xf numFmtId="0" fontId="43" fillId="26" borderId="0" xfId="0" applyFont="1" applyFill="1" applyAlignment="1">
      <alignment vertical="top"/>
    </xf>
    <xf numFmtId="0" fontId="43" fillId="26" borderId="0" xfId="0" applyFont="1" applyFill="1" applyAlignment="1">
      <alignment horizontal="right" vertical="top"/>
    </xf>
    <xf numFmtId="164" fontId="43" fillId="26" borderId="0" xfId="0" applyNumberFormat="1" applyFont="1" applyFill="1" applyAlignment="1">
      <alignment vertical="top"/>
    </xf>
    <xf numFmtId="164" fontId="41" fillId="26" borderId="22" xfId="0" applyNumberFormat="1" applyFont="1" applyFill="1" applyBorder="1" applyAlignment="1">
      <alignment horizontal="center" vertical="top"/>
    </xf>
    <xf numFmtId="0" fontId="41" fillId="26" borderId="22" xfId="0" applyFont="1" applyFill="1" applyBorder="1" applyAlignment="1">
      <alignment horizontal="center" vertical="top"/>
    </xf>
    <xf numFmtId="164" fontId="41" fillId="26" borderId="0" xfId="0" applyNumberFormat="1" applyFont="1" applyFill="1" applyAlignment="1">
      <alignment horizontal="center" vertical="top"/>
    </xf>
    <xf numFmtId="164" fontId="41" fillId="26" borderId="0" xfId="0" applyNumberFormat="1" applyFont="1" applyFill="1" applyAlignment="1">
      <alignment horizontal="right"/>
    </xf>
    <xf numFmtId="0" fontId="41" fillId="26" borderId="0" xfId="0" quotePrefix="1" applyFont="1" applyFill="1" applyAlignment="1">
      <alignment horizontal="right" vertical="top"/>
    </xf>
    <xf numFmtId="191" fontId="41" fillId="26" borderId="0" xfId="0" applyNumberFormat="1" applyFont="1" applyFill="1" applyAlignment="1">
      <alignment horizontal="right" vertical="top"/>
    </xf>
    <xf numFmtId="173" fontId="41" fillId="26" borderId="0" xfId="0" applyNumberFormat="1" applyFont="1" applyFill="1" applyAlignment="1">
      <alignment horizontal="right" vertical="top"/>
    </xf>
    <xf numFmtId="189" fontId="41" fillId="26" borderId="0" xfId="0" applyNumberFormat="1" applyFont="1" applyFill="1" applyAlignment="1">
      <alignment horizontal="right" vertical="top"/>
    </xf>
    <xf numFmtId="190" fontId="41" fillId="26" borderId="0" xfId="0" applyNumberFormat="1" applyFont="1" applyFill="1" applyAlignment="1">
      <alignment horizontal="right" vertical="top"/>
    </xf>
    <xf numFmtId="0" fontId="71" fillId="26" borderId="22" xfId="0" applyFont="1" applyFill="1" applyBorder="1" applyAlignment="1">
      <alignment vertical="top"/>
    </xf>
    <xf numFmtId="0" fontId="45" fillId="26" borderId="22" xfId="0" applyFont="1" applyFill="1" applyBorder="1" applyAlignment="1">
      <alignment vertical="top"/>
    </xf>
    <xf numFmtId="164" fontId="41" fillId="26" borderId="0" xfId="0" quotePrefix="1" applyNumberFormat="1" applyFont="1" applyFill="1" applyAlignment="1">
      <alignment horizontal="right" vertical="top"/>
    </xf>
    <xf numFmtId="0" fontId="43" fillId="0" borderId="0" xfId="0" applyFont="1" applyBorder="1" applyAlignment="1">
      <alignment horizontal="center" vertical="top"/>
    </xf>
    <xf numFmtId="0" fontId="41" fillId="25" borderId="0" xfId="0" applyFont="1" applyFill="1" applyBorder="1"/>
    <xf numFmtId="0" fontId="41" fillId="21" borderId="9" xfId="0" applyFont="1" applyFill="1" applyBorder="1"/>
    <xf numFmtId="0" fontId="41" fillId="21" borderId="17" xfId="0" applyFont="1" applyFill="1" applyBorder="1" applyAlignment="1">
      <alignment horizontal="right"/>
    </xf>
    <xf numFmtId="0" fontId="41" fillId="21" borderId="18" xfId="0" quotePrefix="1" applyFont="1" applyFill="1" applyBorder="1" applyAlignment="1">
      <alignment horizontal="center" vertical="top"/>
    </xf>
    <xf numFmtId="0" fontId="41" fillId="21" borderId="18" xfId="0" applyFont="1" applyFill="1" applyBorder="1" applyAlignment="1">
      <alignment horizontal="center" vertical="top"/>
    </xf>
    <xf numFmtId="0" fontId="41" fillId="21" borderId="19" xfId="0" quotePrefix="1" applyFont="1" applyFill="1" applyBorder="1" applyAlignment="1">
      <alignment horizontal="center"/>
    </xf>
    <xf numFmtId="0" fontId="43" fillId="0" borderId="0" xfId="0" applyFont="1" applyAlignment="1">
      <alignment vertical="top"/>
    </xf>
    <xf numFmtId="0" fontId="43" fillId="0" borderId="0" xfId="0" applyFont="1" applyAlignment="1">
      <alignment horizontal="center" vertical="top"/>
    </xf>
    <xf numFmtId="0" fontId="41" fillId="21" borderId="5" xfId="0" applyFont="1" applyFill="1" applyBorder="1"/>
    <xf numFmtId="0" fontId="41" fillId="21" borderId="14" xfId="0" applyFont="1" applyFill="1" applyBorder="1" applyAlignment="1">
      <alignment horizontal="right"/>
    </xf>
    <xf numFmtId="0" fontId="41" fillId="21" borderId="15" xfId="0" quotePrefix="1" applyFont="1" applyFill="1" applyBorder="1" applyAlignment="1">
      <alignment horizontal="center" vertical="top"/>
    </xf>
    <xf numFmtId="0" fontId="41" fillId="21" borderId="15" xfId="0" applyFont="1" applyFill="1" applyBorder="1" applyAlignment="1">
      <alignment horizontal="center" vertical="top"/>
    </xf>
    <xf numFmtId="0" fontId="41" fillId="21" borderId="16" xfId="0" quotePrefix="1" applyFont="1" applyFill="1" applyBorder="1" applyAlignment="1">
      <alignment horizontal="center"/>
    </xf>
    <xf numFmtId="16" fontId="41" fillId="21" borderId="16" xfId="0" quotePrefix="1" applyNumberFormat="1" applyFont="1" applyFill="1" applyBorder="1" applyAlignment="1">
      <alignment horizontal="center"/>
    </xf>
    <xf numFmtId="0" fontId="41" fillId="21" borderId="30" xfId="0" quotePrefix="1" applyFont="1" applyFill="1" applyBorder="1" applyAlignment="1">
      <alignment horizontal="center" vertical="top"/>
    </xf>
    <xf numFmtId="0" fontId="41" fillId="0" borderId="24" xfId="0" applyFont="1" applyBorder="1" applyAlignment="1">
      <alignment horizontal="center"/>
    </xf>
    <xf numFmtId="0" fontId="41" fillId="19" borderId="24" xfId="0" applyFont="1" applyFill="1" applyBorder="1"/>
    <xf numFmtId="0" fontId="41" fillId="21" borderId="25" xfId="0" applyFont="1" applyFill="1" applyBorder="1"/>
    <xf numFmtId="0" fontId="41" fillId="21" borderId="26" xfId="0" applyFont="1" applyFill="1" applyBorder="1" applyAlignment="1">
      <alignment horizontal="right"/>
    </xf>
    <xf numFmtId="0" fontId="41" fillId="21" borderId="27" xfId="0" applyFont="1" applyFill="1" applyBorder="1" applyAlignment="1">
      <alignment horizontal="center" vertical="top"/>
    </xf>
    <xf numFmtId="0" fontId="41" fillId="21" borderId="27" xfId="0" quotePrefix="1" applyFont="1" applyFill="1" applyBorder="1" applyAlignment="1">
      <alignment horizontal="center" vertical="top"/>
    </xf>
    <xf numFmtId="0" fontId="41" fillId="21" borderId="11" xfId="0" quotePrefix="1" applyFont="1" applyFill="1" applyBorder="1" applyAlignment="1">
      <alignment horizontal="center" vertical="top"/>
    </xf>
    <xf numFmtId="0" fontId="41" fillId="21" borderId="28" xfId="0" quotePrefix="1" applyFont="1" applyFill="1" applyBorder="1" applyAlignment="1">
      <alignment horizontal="center"/>
    </xf>
    <xf numFmtId="0" fontId="41" fillId="19" borderId="0" xfId="0" applyFont="1" applyFill="1" applyBorder="1"/>
    <xf numFmtId="0" fontId="41" fillId="19" borderId="22" xfId="0" applyFont="1" applyFill="1" applyBorder="1"/>
    <xf numFmtId="0" fontId="41" fillId="21" borderId="0" xfId="0" applyFont="1" applyFill="1"/>
    <xf numFmtId="0" fontId="41" fillId="21" borderId="0" xfId="0" applyFont="1" applyFill="1" applyAlignment="1">
      <alignment horizontal="right"/>
    </xf>
    <xf numFmtId="0" fontId="41" fillId="23" borderId="24" xfId="0" applyFont="1" applyFill="1" applyBorder="1"/>
    <xf numFmtId="17" fontId="41" fillId="21" borderId="27" xfId="0" applyNumberFormat="1" applyFont="1" applyFill="1" applyBorder="1" applyAlignment="1">
      <alignment horizontal="center" vertical="top"/>
    </xf>
    <xf numFmtId="16" fontId="41" fillId="21" borderId="27" xfId="0" quotePrefix="1" applyNumberFormat="1" applyFont="1" applyFill="1" applyBorder="1" applyAlignment="1">
      <alignment horizontal="center" vertical="top"/>
    </xf>
    <xf numFmtId="14" fontId="41" fillId="21" borderId="27" xfId="0" quotePrefix="1" applyNumberFormat="1" applyFont="1" applyFill="1" applyBorder="1" applyAlignment="1">
      <alignment horizontal="center" vertical="top"/>
    </xf>
    <xf numFmtId="0" fontId="41" fillId="23" borderId="0" xfId="0" applyFont="1" applyFill="1" applyBorder="1"/>
    <xf numFmtId="17" fontId="41" fillId="21" borderId="18" xfId="0" quotePrefix="1" applyNumberFormat="1" applyFont="1" applyFill="1" applyBorder="1" applyAlignment="1">
      <alignment horizontal="center" vertical="top"/>
    </xf>
    <xf numFmtId="0" fontId="52" fillId="22" borderId="0" xfId="0" applyFont="1" applyFill="1" applyBorder="1"/>
    <xf numFmtId="0" fontId="41" fillId="21" borderId="27" xfId="0" applyFont="1" applyFill="1" applyBorder="1" applyAlignment="1">
      <alignment horizontal="center"/>
    </xf>
    <xf numFmtId="0" fontId="41" fillId="21" borderId="28" xfId="0" applyFont="1" applyFill="1" applyBorder="1" applyAlignment="1">
      <alignment horizontal="center" vertical="top"/>
    </xf>
    <xf numFmtId="0" fontId="41" fillId="0" borderId="0" xfId="0" applyFont="1" applyBorder="1" applyAlignment="1">
      <alignment horizontal="center"/>
    </xf>
    <xf numFmtId="0" fontId="41" fillId="21" borderId="8" xfId="0" applyFont="1" applyFill="1" applyBorder="1"/>
    <xf numFmtId="0" fontId="41" fillId="21" borderId="12" xfId="0" applyFont="1" applyFill="1" applyBorder="1" applyAlignment="1">
      <alignment horizontal="right"/>
    </xf>
    <xf numFmtId="0" fontId="41" fillId="21" borderId="13" xfId="0" quotePrefix="1" applyFont="1" applyFill="1" applyBorder="1" applyAlignment="1">
      <alignment horizontal="center" vertical="top"/>
    </xf>
    <xf numFmtId="0" fontId="41" fillId="21" borderId="13" xfId="0" applyFont="1" applyFill="1" applyBorder="1" applyAlignment="1">
      <alignment horizontal="center"/>
    </xf>
    <xf numFmtId="0" fontId="41" fillId="21" borderId="13" xfId="0" applyFont="1" applyFill="1" applyBorder="1" applyAlignment="1">
      <alignment horizontal="center" vertical="top"/>
    </xf>
    <xf numFmtId="0" fontId="41" fillId="21" borderId="7" xfId="0" applyFont="1" applyFill="1" applyBorder="1" applyAlignment="1">
      <alignment horizontal="center" vertical="top"/>
    </xf>
    <xf numFmtId="0" fontId="41" fillId="21" borderId="7" xfId="0" quotePrefix="1" applyFont="1" applyFill="1" applyBorder="1" applyAlignment="1">
      <alignment horizontal="center"/>
    </xf>
    <xf numFmtId="0" fontId="41" fillId="21" borderId="18" xfId="0" applyFont="1" applyFill="1" applyBorder="1" applyAlignment="1">
      <alignment horizontal="center"/>
    </xf>
    <xf numFmtId="0" fontId="52" fillId="28" borderId="24" xfId="0" applyFont="1" applyFill="1" applyBorder="1"/>
    <xf numFmtId="0" fontId="52" fillId="28" borderId="0" xfId="0" applyFont="1" applyFill="1" applyBorder="1"/>
    <xf numFmtId="0" fontId="52" fillId="28" borderId="22" xfId="0" applyFont="1" applyFill="1" applyBorder="1"/>
    <xf numFmtId="0" fontId="41" fillId="25" borderId="24" xfId="0" applyFont="1" applyFill="1" applyBorder="1"/>
    <xf numFmtId="0" fontId="41" fillId="25" borderId="22" xfId="0" applyFont="1" applyFill="1" applyBorder="1"/>
    <xf numFmtId="0" fontId="41" fillId="29" borderId="24" xfId="0" applyFont="1" applyFill="1" applyBorder="1"/>
    <xf numFmtId="0" fontId="41" fillId="29" borderId="0" xfId="0" applyFont="1" applyFill="1" applyBorder="1"/>
    <xf numFmtId="0" fontId="41" fillId="21" borderId="16" xfId="0" applyFont="1" applyFill="1" applyBorder="1" applyAlignment="1">
      <alignment horizontal="center" vertical="top"/>
    </xf>
    <xf numFmtId="0" fontId="41" fillId="29" borderId="22" xfId="0" applyFont="1" applyFill="1" applyBorder="1"/>
    <xf numFmtId="0" fontId="41" fillId="21" borderId="0" xfId="0" applyFont="1" applyFill="1" applyBorder="1"/>
    <xf numFmtId="0" fontId="41" fillId="21" borderId="10" xfId="0" applyFont="1" applyFill="1" applyBorder="1" applyAlignment="1">
      <alignment horizontal="right"/>
    </xf>
    <xf numFmtId="0" fontId="41" fillId="21" borderId="11" xfId="0" applyFont="1" applyFill="1" applyBorder="1" applyAlignment="1">
      <alignment horizontal="center" vertical="top"/>
    </xf>
    <xf numFmtId="0" fontId="41" fillId="21" borderId="6" xfId="0" quotePrefix="1" applyFont="1" applyFill="1" applyBorder="1" applyAlignment="1">
      <alignment horizontal="center"/>
    </xf>
    <xf numFmtId="0" fontId="41" fillId="30" borderId="24" xfId="0" applyFont="1" applyFill="1" applyBorder="1"/>
    <xf numFmtId="0" fontId="41" fillId="21" borderId="31" xfId="0" quotePrefix="1" applyFont="1" applyFill="1" applyBorder="1" applyAlignment="1">
      <alignment horizontal="center" vertical="top"/>
    </xf>
    <xf numFmtId="0" fontId="41" fillId="30" borderId="0" xfId="0" applyFont="1" applyFill="1" applyBorder="1"/>
    <xf numFmtId="0" fontId="41" fillId="21" borderId="15" xfId="0" quotePrefix="1" applyFont="1" applyFill="1" applyBorder="1" applyAlignment="1">
      <alignment horizontal="center" vertical="center"/>
    </xf>
    <xf numFmtId="0" fontId="41" fillId="21" borderId="15" xfId="0" applyFont="1" applyFill="1" applyBorder="1" applyAlignment="1">
      <alignment horizontal="center" vertical="center"/>
    </xf>
    <xf numFmtId="0" fontId="41" fillId="21" borderId="16" xfId="0" quotePrefix="1" applyFont="1" applyFill="1" applyBorder="1" applyAlignment="1">
      <alignment horizontal="center" vertical="center"/>
    </xf>
    <xf numFmtId="0" fontId="41" fillId="30" borderId="22" xfId="0" applyFont="1" applyFill="1" applyBorder="1"/>
    <xf numFmtId="0" fontId="41" fillId="21" borderId="18" xfId="0" quotePrefix="1" applyFont="1" applyFill="1" applyBorder="1" applyAlignment="1">
      <alignment horizontal="center" vertical="center"/>
    </xf>
    <xf numFmtId="0" fontId="41" fillId="21" borderId="18" xfId="0" applyFont="1" applyFill="1" applyBorder="1" applyAlignment="1">
      <alignment horizontal="center" vertical="center"/>
    </xf>
    <xf numFmtId="0" fontId="41" fillId="21" borderId="19" xfId="0" quotePrefix="1" applyFont="1" applyFill="1" applyBorder="1" applyAlignment="1">
      <alignment horizontal="center" vertical="center"/>
    </xf>
    <xf numFmtId="0" fontId="52" fillId="31" borderId="24" xfId="0" applyFont="1" applyFill="1" applyBorder="1"/>
    <xf numFmtId="0" fontId="41" fillId="21" borderId="27" xfId="0" quotePrefix="1" applyFont="1" applyFill="1" applyBorder="1" applyAlignment="1">
      <alignment horizontal="center" vertical="center"/>
    </xf>
    <xf numFmtId="0" fontId="41" fillId="21" borderId="27" xfId="0" applyFont="1" applyFill="1" applyBorder="1" applyAlignment="1">
      <alignment horizontal="center" vertical="center"/>
    </xf>
    <xf numFmtId="0" fontId="41" fillId="21" borderId="28" xfId="0" quotePrefix="1" applyFont="1" applyFill="1" applyBorder="1" applyAlignment="1">
      <alignment horizontal="center" vertical="center"/>
    </xf>
    <xf numFmtId="0" fontId="52" fillId="31" borderId="0" xfId="0" applyFont="1" applyFill="1" applyBorder="1"/>
    <xf numFmtId="17" fontId="41" fillId="21" borderId="15" xfId="0" quotePrefix="1" applyNumberFormat="1" applyFont="1" applyFill="1" applyBorder="1" applyAlignment="1">
      <alignment horizontal="center" vertical="center"/>
    </xf>
    <xf numFmtId="14" fontId="41" fillId="21" borderId="15" xfId="0" quotePrefix="1" applyNumberFormat="1" applyFont="1" applyFill="1" applyBorder="1" applyAlignment="1">
      <alignment horizontal="center" vertical="center"/>
    </xf>
    <xf numFmtId="14" fontId="41" fillId="21" borderId="16" xfId="0" quotePrefix="1" applyNumberFormat="1" applyFont="1" applyFill="1" applyBorder="1" applyAlignment="1">
      <alignment horizontal="center" vertical="center"/>
    </xf>
    <xf numFmtId="0" fontId="52" fillId="31" borderId="22" xfId="0" applyFont="1" applyFill="1" applyBorder="1"/>
    <xf numFmtId="0" fontId="52" fillId="38" borderId="24" xfId="0" applyFont="1" applyFill="1" applyBorder="1"/>
    <xf numFmtId="0" fontId="52" fillId="38" borderId="0" xfId="0" applyFont="1" applyFill="1" applyBorder="1"/>
    <xf numFmtId="0" fontId="52" fillId="38" borderId="22" xfId="0" applyFont="1" applyFill="1" applyBorder="1"/>
    <xf numFmtId="0" fontId="41" fillId="32" borderId="24" xfId="0" applyFont="1" applyFill="1" applyBorder="1"/>
    <xf numFmtId="0" fontId="41" fillId="32" borderId="0" xfId="0" applyFont="1" applyFill="1" applyBorder="1"/>
    <xf numFmtId="0" fontId="41" fillId="32" borderId="22" xfId="0" applyFont="1" applyFill="1" applyBorder="1"/>
    <xf numFmtId="0" fontId="52" fillId="27" borderId="24" xfId="0" applyFont="1" applyFill="1" applyBorder="1"/>
    <xf numFmtId="0" fontId="52" fillId="27" borderId="0" xfId="0" applyFont="1" applyFill="1" applyBorder="1"/>
    <xf numFmtId="0" fontId="52" fillId="27" borderId="22" xfId="0" applyFont="1" applyFill="1" applyBorder="1"/>
    <xf numFmtId="0" fontId="41" fillId="21" borderId="11" xfId="0" quotePrefix="1" applyFont="1" applyFill="1" applyBorder="1" applyAlignment="1">
      <alignment horizontal="center" vertical="center"/>
    </xf>
    <xf numFmtId="0" fontId="41" fillId="21" borderId="11" xfId="0" applyFont="1" applyFill="1" applyBorder="1" applyAlignment="1">
      <alignment horizontal="center" vertical="center"/>
    </xf>
    <xf numFmtId="0" fontId="41" fillId="21" borderId="7" xfId="0" quotePrefix="1" applyFont="1" applyFill="1" applyBorder="1" applyAlignment="1">
      <alignment horizontal="center" vertical="center"/>
    </xf>
    <xf numFmtId="0" fontId="41" fillId="21" borderId="6" xfId="0" quotePrefix="1" applyFont="1" applyFill="1" applyBorder="1" applyAlignment="1">
      <alignment horizontal="center" vertical="center"/>
    </xf>
    <xf numFmtId="0" fontId="52" fillId="33" borderId="24" xfId="0" applyFont="1" applyFill="1" applyBorder="1"/>
    <xf numFmtId="0" fontId="52" fillId="33" borderId="0" xfId="0" applyFont="1" applyFill="1" applyBorder="1"/>
    <xf numFmtId="0" fontId="41" fillId="21" borderId="13" xfId="0" quotePrefix="1" applyFont="1" applyFill="1" applyBorder="1" applyAlignment="1">
      <alignment horizontal="center" vertical="center"/>
    </xf>
    <xf numFmtId="0" fontId="41" fillId="21" borderId="13" xfId="0" applyFont="1" applyFill="1" applyBorder="1" applyAlignment="1">
      <alignment horizontal="center" vertical="center"/>
    </xf>
    <xf numFmtId="0" fontId="52" fillId="33" borderId="22" xfId="0" applyFont="1" applyFill="1" applyBorder="1"/>
    <xf numFmtId="0" fontId="41" fillId="34" borderId="24" xfId="0" applyFont="1" applyFill="1" applyBorder="1"/>
    <xf numFmtId="0" fontId="41" fillId="21" borderId="31" xfId="0" applyFont="1" applyFill="1" applyBorder="1" applyAlignment="1">
      <alignment horizontal="center" vertical="center"/>
    </xf>
    <xf numFmtId="0" fontId="41" fillId="34" borderId="0" xfId="0" applyFont="1" applyFill="1" applyBorder="1"/>
    <xf numFmtId="0" fontId="41" fillId="34" borderId="22" xfId="0" applyFont="1" applyFill="1" applyBorder="1"/>
    <xf numFmtId="0" fontId="41" fillId="21" borderId="7" xfId="0" applyFont="1" applyFill="1" applyBorder="1" applyAlignment="1">
      <alignment horizontal="center" vertical="center"/>
    </xf>
    <xf numFmtId="0" fontId="41" fillId="39" borderId="24" xfId="0" applyFont="1" applyFill="1" applyBorder="1"/>
    <xf numFmtId="0" fontId="41" fillId="21" borderId="31" xfId="0" quotePrefix="1" applyFont="1" applyFill="1" applyBorder="1" applyAlignment="1">
      <alignment horizontal="center" vertical="center"/>
    </xf>
    <xf numFmtId="0" fontId="41" fillId="39" borderId="0" xfId="0" applyFont="1" applyFill="1" applyBorder="1"/>
    <xf numFmtId="0" fontId="41" fillId="21" borderId="16" xfId="0" applyFont="1" applyFill="1" applyBorder="1" applyAlignment="1">
      <alignment horizontal="center" vertical="center"/>
    </xf>
    <xf numFmtId="0" fontId="41" fillId="21" borderId="29" xfId="0" applyFont="1" applyFill="1" applyBorder="1" applyAlignment="1">
      <alignment horizontal="right"/>
    </xf>
    <xf numFmtId="0" fontId="41" fillId="40" borderId="24" xfId="0" applyFont="1" applyFill="1" applyBorder="1"/>
    <xf numFmtId="0" fontId="41" fillId="40" borderId="0" xfId="0" applyFont="1" applyFill="1" applyBorder="1"/>
    <xf numFmtId="0" fontId="41" fillId="40" borderId="22" xfId="0" applyFont="1" applyFill="1" applyBorder="1"/>
    <xf numFmtId="0" fontId="41" fillId="35" borderId="24" xfId="0" applyFont="1" applyFill="1" applyBorder="1"/>
    <xf numFmtId="0" fontId="41" fillId="35" borderId="0" xfId="0" applyFont="1" applyFill="1" applyBorder="1"/>
    <xf numFmtId="0" fontId="41" fillId="35" borderId="22" xfId="0" applyFont="1" applyFill="1" applyBorder="1"/>
    <xf numFmtId="0" fontId="41" fillId="20" borderId="24" xfId="0" applyFont="1" applyFill="1" applyBorder="1"/>
    <xf numFmtId="17" fontId="41" fillId="21" borderId="27" xfId="0" quotePrefix="1" applyNumberFormat="1" applyFont="1" applyFill="1" applyBorder="1" applyAlignment="1">
      <alignment horizontal="center" vertical="center"/>
    </xf>
    <xf numFmtId="0" fontId="41" fillId="20" borderId="0" xfId="0" applyFont="1" applyFill="1" applyBorder="1"/>
    <xf numFmtId="17" fontId="41" fillId="21" borderId="13" xfId="0" quotePrefix="1" applyNumberFormat="1" applyFont="1" applyFill="1" applyBorder="1" applyAlignment="1">
      <alignment horizontal="center" vertical="center"/>
    </xf>
    <xf numFmtId="0" fontId="41" fillId="20" borderId="22" xfId="0" applyFont="1" applyFill="1" applyBorder="1"/>
    <xf numFmtId="17" fontId="41" fillId="21" borderId="11" xfId="0" quotePrefix="1" applyNumberFormat="1" applyFont="1" applyFill="1" applyBorder="1" applyAlignment="1">
      <alignment horizontal="center" vertical="center"/>
    </xf>
    <xf numFmtId="0" fontId="41" fillId="21" borderId="6" xfId="0" applyFont="1" applyFill="1" applyBorder="1" applyAlignment="1">
      <alignment horizontal="center" vertical="center"/>
    </xf>
    <xf numFmtId="0" fontId="41" fillId="36" borderId="24" xfId="0" applyFont="1" applyFill="1" applyBorder="1"/>
    <xf numFmtId="0" fontId="41" fillId="21" borderId="28" xfId="0" applyFont="1" applyFill="1" applyBorder="1" applyAlignment="1">
      <alignment horizontal="center" vertical="center"/>
    </xf>
    <xf numFmtId="0" fontId="41" fillId="36" borderId="0" xfId="0" applyFont="1" applyFill="1" applyBorder="1"/>
    <xf numFmtId="0" fontId="41" fillId="36" borderId="22" xfId="0" applyFont="1" applyFill="1" applyBorder="1"/>
    <xf numFmtId="0" fontId="41" fillId="37" borderId="24" xfId="0" applyFont="1" applyFill="1" applyBorder="1"/>
    <xf numFmtId="0" fontId="41" fillId="37" borderId="22" xfId="0" applyFont="1" applyFill="1" applyBorder="1"/>
    <xf numFmtId="0" fontId="58" fillId="42" borderId="0" xfId="0" applyFont="1" applyFill="1" applyBorder="1"/>
    <xf numFmtId="0" fontId="58" fillId="42" borderId="0" xfId="0" applyFont="1" applyFill="1" applyAlignment="1">
      <alignment horizontal="center" vertical="top" wrapText="1"/>
    </xf>
    <xf numFmtId="2" fontId="41" fillId="42" borderId="0" xfId="0" applyNumberFormat="1" applyFont="1" applyFill="1" applyBorder="1" applyAlignment="1">
      <alignment horizontal="right"/>
    </xf>
    <xf numFmtId="174" fontId="41" fillId="42" borderId="34" xfId="0" applyNumberFormat="1" applyFont="1" applyFill="1" applyBorder="1" applyAlignment="1">
      <alignment horizontal="center"/>
    </xf>
    <xf numFmtId="174" fontId="43" fillId="42" borderId="0" xfId="0" applyNumberFormat="1" applyFont="1" applyFill="1" applyBorder="1" applyAlignment="1">
      <alignment horizontal="left"/>
    </xf>
    <xf numFmtId="0" fontId="43" fillId="42" borderId="0" xfId="0" applyFont="1" applyFill="1" applyBorder="1"/>
    <xf numFmtId="170" fontId="41" fillId="42" borderId="34" xfId="0" applyNumberFormat="1" applyFont="1" applyFill="1" applyBorder="1" applyAlignment="1">
      <alignment horizontal="right"/>
    </xf>
    <xf numFmtId="2" fontId="41" fillId="42" borderId="44" xfId="0" applyNumberFormat="1" applyFont="1" applyFill="1" applyBorder="1" applyAlignment="1">
      <alignment horizontal="left"/>
    </xf>
    <xf numFmtId="192" fontId="41" fillId="0" borderId="32" xfId="0" applyNumberFormat="1" applyFont="1" applyFill="1" applyBorder="1" applyAlignment="1">
      <alignment horizontal="left" vertical="top"/>
    </xf>
    <xf numFmtId="192" fontId="41" fillId="0" borderId="33" xfId="0" applyNumberFormat="1" applyFont="1" applyFill="1" applyBorder="1" applyAlignment="1">
      <alignment horizontal="left" vertical="top"/>
    </xf>
    <xf numFmtId="193" fontId="41" fillId="0" borderId="45" xfId="0" applyNumberFormat="1" applyFont="1" applyFill="1" applyBorder="1" applyAlignment="1">
      <alignment horizontal="left" vertical="top"/>
    </xf>
    <xf numFmtId="0" fontId="77" fillId="42" borderId="0" xfId="0" applyFont="1" applyFill="1"/>
    <xf numFmtId="0" fontId="78" fillId="42" borderId="0" xfId="198" quotePrefix="1" applyFill="1"/>
    <xf numFmtId="0" fontId="41" fillId="0" borderId="45" xfId="0" applyFont="1" applyFill="1" applyBorder="1"/>
    <xf numFmtId="164" fontId="41" fillId="0" borderId="32" xfId="0" applyNumberFormat="1" applyFont="1" applyFill="1" applyBorder="1"/>
    <xf numFmtId="194" fontId="41" fillId="42" borderId="44" xfId="0" applyNumberFormat="1" applyFont="1" applyFill="1" applyBorder="1" applyAlignment="1">
      <alignment horizontal="left"/>
    </xf>
    <xf numFmtId="178" fontId="41" fillId="26" borderId="0" xfId="0" applyNumberFormat="1" applyFont="1" applyFill="1" applyBorder="1" applyAlignment="1">
      <alignment vertical="top"/>
    </xf>
    <xf numFmtId="178" fontId="41" fillId="26" borderId="0" xfId="0" applyNumberFormat="1" applyFont="1" applyFill="1" applyAlignment="1">
      <alignment vertical="top"/>
    </xf>
    <xf numFmtId="178" fontId="41" fillId="26" borderId="22" xfId="0" applyNumberFormat="1" applyFont="1" applyFill="1" applyBorder="1" applyAlignment="1">
      <alignment vertical="top"/>
    </xf>
    <xf numFmtId="178" fontId="43" fillId="26" borderId="0" xfId="0" applyNumberFormat="1" applyFont="1" applyFill="1" applyBorder="1" applyAlignment="1">
      <alignment vertical="top"/>
    </xf>
    <xf numFmtId="14" fontId="41" fillId="0" borderId="45" xfId="0" applyNumberFormat="1" applyFont="1" applyFill="1" applyBorder="1" applyAlignment="1">
      <alignment horizontal="left"/>
    </xf>
    <xf numFmtId="0" fontId="52" fillId="0" borderId="0" xfId="0" applyFont="1"/>
    <xf numFmtId="0" fontId="50" fillId="0" borderId="0" xfId="0" applyFont="1" applyFill="1"/>
    <xf numFmtId="0" fontId="66" fillId="0" borderId="0" xfId="0" applyFont="1" applyFill="1" applyAlignment="1">
      <alignment horizontal="center" vertical="top" wrapText="1"/>
    </xf>
    <xf numFmtId="0" fontId="50" fillId="0" borderId="0" xfId="0" applyFont="1" applyFill="1" applyAlignment="1">
      <alignment horizontal="center"/>
    </xf>
    <xf numFmtId="0" fontId="80" fillId="0" borderId="0" xfId="0" applyFont="1" applyAlignment="1">
      <alignment vertical="top"/>
    </xf>
    <xf numFmtId="0" fontId="80" fillId="0" borderId="0" xfId="0" applyFont="1" applyFill="1" applyAlignment="1">
      <alignment horizontal="center" vertical="top" wrapText="1"/>
    </xf>
    <xf numFmtId="0" fontId="43" fillId="0" borderId="48" xfId="0" applyFont="1" applyFill="1" applyBorder="1" applyAlignment="1">
      <alignment horizontal="center" vertical="top" wrapText="1"/>
    </xf>
    <xf numFmtId="0" fontId="43" fillId="0" borderId="48" xfId="0" applyFont="1" applyFill="1" applyBorder="1" applyAlignment="1">
      <alignment vertical="top"/>
    </xf>
    <xf numFmtId="0" fontId="50" fillId="0" borderId="48" xfId="0" applyFont="1" applyFill="1" applyBorder="1" applyAlignment="1">
      <alignment vertical="top"/>
    </xf>
    <xf numFmtId="0" fontId="43" fillId="0" borderId="48" xfId="0" applyFont="1" applyFill="1" applyBorder="1" applyAlignment="1">
      <alignment horizontal="right" vertical="top"/>
    </xf>
    <xf numFmtId="0" fontId="52" fillId="0" borderId="21" xfId="0" applyFont="1" applyFill="1" applyBorder="1"/>
    <xf numFmtId="0" fontId="41" fillId="21" borderId="14" xfId="0" applyFont="1" applyFill="1" applyBorder="1"/>
    <xf numFmtId="0" fontId="41" fillId="21" borderId="15" xfId="0" applyFont="1" applyFill="1" applyBorder="1" applyAlignment="1">
      <alignment horizontal="center"/>
    </xf>
    <xf numFmtId="0" fontId="41" fillId="21" borderId="15" xfId="0" quotePrefix="1" applyFont="1" applyFill="1" applyBorder="1" applyAlignment="1">
      <alignment horizontal="center"/>
    </xf>
    <xf numFmtId="0" fontId="41" fillId="21" borderId="12" xfId="0" applyFont="1" applyFill="1" applyBorder="1"/>
    <xf numFmtId="0" fontId="43" fillId="21" borderId="14" xfId="0" applyFont="1" applyFill="1" applyBorder="1"/>
    <xf numFmtId="0" fontId="52" fillId="0" borderId="0" xfId="0" applyFont="1" applyFill="1" applyAlignment="1">
      <alignment horizontal="center" vertical="top" wrapText="1"/>
    </xf>
    <xf numFmtId="0" fontId="52" fillId="0" borderId="0" xfId="0" applyFont="1" applyFill="1" applyAlignment="1">
      <alignment horizontal="center" wrapText="1"/>
    </xf>
    <xf numFmtId="0" fontId="52" fillId="0" borderId="0" xfId="0" applyFont="1" applyAlignment="1">
      <alignment horizontal="center"/>
    </xf>
    <xf numFmtId="0" fontId="48" fillId="21" borderId="0" xfId="0" applyFont="1" applyFill="1"/>
    <xf numFmtId="0" fontId="41" fillId="21" borderId="0" xfId="0" applyFont="1" applyFill="1" applyAlignment="1">
      <alignment horizontal="center"/>
    </xf>
    <xf numFmtId="0" fontId="41" fillId="21" borderId="0" xfId="0" applyFont="1" applyFill="1" applyAlignment="1">
      <alignment horizontal="center" vertical="top"/>
    </xf>
    <xf numFmtId="1" fontId="41" fillId="21" borderId="0" xfId="0" applyNumberFormat="1" applyFont="1" applyFill="1" applyAlignment="1">
      <alignment horizontal="center" vertical="top"/>
    </xf>
    <xf numFmtId="0" fontId="41" fillId="21" borderId="13" xfId="0" applyFont="1" applyFill="1" applyBorder="1"/>
    <xf numFmtId="164" fontId="41" fillId="21" borderId="13" xfId="0" applyNumberFormat="1" applyFont="1" applyFill="1" applyBorder="1" applyAlignment="1">
      <alignment horizontal="center" vertical="top"/>
    </xf>
    <xf numFmtId="1" fontId="41" fillId="21" borderId="13" xfId="0" applyNumberFormat="1" applyFont="1" applyFill="1" applyBorder="1" applyAlignment="1">
      <alignment horizontal="center" vertical="top"/>
    </xf>
    <xf numFmtId="0" fontId="41" fillId="21" borderId="15" xfId="0" applyFont="1" applyFill="1" applyBorder="1"/>
    <xf numFmtId="164" fontId="41" fillId="21" borderId="15" xfId="0" applyNumberFormat="1" applyFont="1" applyFill="1" applyBorder="1" applyAlignment="1">
      <alignment horizontal="center" vertical="top"/>
    </xf>
    <xf numFmtId="1" fontId="41" fillId="21" borderId="15" xfId="0" applyNumberFormat="1" applyFont="1" applyFill="1" applyBorder="1" applyAlignment="1">
      <alignment horizontal="center" vertical="top"/>
    </xf>
    <xf numFmtId="0" fontId="44" fillId="21" borderId="0" xfId="0" applyFont="1" applyFill="1"/>
    <xf numFmtId="0" fontId="44" fillId="21" borderId="0" xfId="0" applyFont="1" applyFill="1" applyAlignment="1">
      <alignment horizontal="center"/>
    </xf>
    <xf numFmtId="0" fontId="44" fillId="21" borderId="0" xfId="0" applyFont="1" applyFill="1" applyAlignment="1">
      <alignment horizontal="right"/>
    </xf>
    <xf numFmtId="0" fontId="43" fillId="41" borderId="0" xfId="0" applyFont="1" applyFill="1" applyBorder="1" applyAlignment="1">
      <alignment horizontal="center" vertical="top"/>
    </xf>
    <xf numFmtId="0" fontId="43" fillId="41" borderId="0" xfId="0" applyFont="1" applyFill="1" applyBorder="1" applyAlignment="1">
      <alignment horizontal="center" vertical="top" wrapText="1"/>
    </xf>
    <xf numFmtId="0" fontId="43" fillId="41" borderId="0" xfId="0" applyFont="1" applyFill="1" applyBorder="1" applyAlignment="1">
      <alignment horizontal="left" vertical="top"/>
    </xf>
    <xf numFmtId="0" fontId="43" fillId="41" borderId="22" xfId="0" applyFont="1" applyFill="1" applyBorder="1" applyAlignment="1">
      <alignment horizontal="center"/>
    </xf>
    <xf numFmtId="0" fontId="43" fillId="41" borderId="22" xfId="0" applyFont="1" applyFill="1" applyBorder="1" applyAlignment="1">
      <alignment horizontal="center" vertical="top" wrapText="1"/>
    </xf>
    <xf numFmtId="0" fontId="80" fillId="0" borderId="0" xfId="0" applyFont="1" applyAlignment="1">
      <alignment horizontal="center"/>
    </xf>
    <xf numFmtId="0" fontId="43" fillId="21" borderId="12" xfId="0" applyFont="1" applyFill="1" applyBorder="1"/>
    <xf numFmtId="0" fontId="41" fillId="21" borderId="7" xfId="0" applyFont="1" applyFill="1" applyBorder="1"/>
    <xf numFmtId="0" fontId="41" fillId="21" borderId="16" xfId="0" applyFont="1" applyFill="1" applyBorder="1"/>
    <xf numFmtId="0" fontId="43" fillId="21" borderId="15" xfId="0" applyFont="1" applyFill="1" applyBorder="1" applyAlignment="1">
      <alignment horizontal="center"/>
    </xf>
    <xf numFmtId="0" fontId="43" fillId="21" borderId="16" xfId="0" applyFont="1" applyFill="1" applyBorder="1"/>
    <xf numFmtId="0" fontId="44" fillId="41" borderId="20" xfId="0" applyFont="1" applyFill="1" applyBorder="1"/>
    <xf numFmtId="0" fontId="44" fillId="41" borderId="20" xfId="0" applyFont="1" applyFill="1" applyBorder="1" applyAlignment="1">
      <alignment horizontal="center"/>
    </xf>
    <xf numFmtId="0" fontId="44" fillId="41" borderId="20" xfId="0" applyFont="1" applyFill="1" applyBorder="1" applyAlignment="1">
      <alignment horizontal="center" wrapText="1"/>
    </xf>
    <xf numFmtId="0" fontId="44" fillId="41" borderId="22" xfId="0" applyFont="1" applyFill="1" applyBorder="1" applyAlignment="1">
      <alignment vertical="top"/>
    </xf>
    <xf numFmtId="0" fontId="44" fillId="41" borderId="49" xfId="0" applyFont="1" applyFill="1" applyBorder="1"/>
    <xf numFmtId="0" fontId="44" fillId="41" borderId="49" xfId="0" applyFont="1" applyFill="1" applyBorder="1" applyAlignment="1">
      <alignment horizontal="center"/>
    </xf>
    <xf numFmtId="0" fontId="48" fillId="21" borderId="0" xfId="0" applyFont="1" applyFill="1" applyAlignment="1">
      <alignment horizontal="center"/>
    </xf>
    <xf numFmtId="0" fontId="50" fillId="0" borderId="0" xfId="0" applyFont="1"/>
    <xf numFmtId="1" fontId="41" fillId="26" borderId="0" xfId="0" applyNumberFormat="1" applyFont="1" applyFill="1" applyAlignment="1">
      <alignment vertical="top"/>
    </xf>
    <xf numFmtId="168" fontId="41" fillId="42" borderId="0" xfId="0" applyNumberFormat="1" applyFont="1" applyFill="1"/>
    <xf numFmtId="177" fontId="41" fillId="0" borderId="0" xfId="0" applyNumberFormat="1" applyFont="1" applyFill="1" applyAlignment="1">
      <alignment vertical="top"/>
    </xf>
    <xf numFmtId="165" fontId="41" fillId="26" borderId="0" xfId="0" applyNumberFormat="1" applyFont="1" applyFill="1" applyBorder="1" applyAlignment="1">
      <alignment vertical="top"/>
    </xf>
    <xf numFmtId="196" fontId="41" fillId="26" borderId="0" xfId="0" applyNumberFormat="1" applyFont="1" applyFill="1" applyAlignment="1">
      <alignment horizontal="right" vertical="top"/>
    </xf>
    <xf numFmtId="168" fontId="41" fillId="26" borderId="22" xfId="0" applyNumberFormat="1" applyFont="1" applyFill="1" applyBorder="1" applyAlignment="1">
      <alignment horizontal="right" vertical="top"/>
    </xf>
    <xf numFmtId="182" fontId="41" fillId="26" borderId="0" xfId="0" applyNumberFormat="1" applyFont="1" applyFill="1" applyAlignment="1">
      <alignment horizontal="right" vertical="top"/>
    </xf>
    <xf numFmtId="178" fontId="41" fillId="26" borderId="0" xfId="0" applyNumberFormat="1" applyFont="1" applyFill="1" applyAlignment="1">
      <alignment horizontal="right" vertical="top"/>
    </xf>
    <xf numFmtId="196" fontId="41" fillId="26" borderId="22" xfId="0" applyNumberFormat="1" applyFont="1" applyFill="1" applyBorder="1" applyAlignment="1">
      <alignment horizontal="right" vertical="top"/>
    </xf>
    <xf numFmtId="197" fontId="41" fillId="42" borderId="44" xfId="0" applyNumberFormat="1" applyFont="1" applyFill="1" applyBorder="1" applyAlignment="1">
      <alignment horizontal="left"/>
    </xf>
    <xf numFmtId="185" fontId="41" fillId="26" borderId="0" xfId="0" applyNumberFormat="1" applyFont="1" applyFill="1" applyAlignment="1">
      <alignment vertical="top"/>
    </xf>
    <xf numFmtId="182" fontId="41" fillId="26" borderId="0" xfId="0" applyNumberFormat="1" applyFont="1" applyFill="1" applyAlignment="1">
      <alignment vertical="top"/>
    </xf>
    <xf numFmtId="196" fontId="41" fillId="26" borderId="0" xfId="0" applyNumberFormat="1" applyFont="1" applyFill="1" applyAlignment="1">
      <alignment vertical="top"/>
    </xf>
    <xf numFmtId="184" fontId="41" fillId="26" borderId="0" xfId="0" applyNumberFormat="1" applyFont="1" applyFill="1" applyAlignment="1">
      <alignment vertical="top"/>
    </xf>
    <xf numFmtId="183" fontId="41" fillId="26" borderId="0" xfId="0" applyNumberFormat="1" applyFont="1" applyFill="1" applyAlignment="1">
      <alignment vertical="top"/>
    </xf>
    <xf numFmtId="184" fontId="41" fillId="26" borderId="22" xfId="0" applyNumberFormat="1" applyFont="1" applyFill="1" applyBorder="1" applyAlignment="1">
      <alignment vertical="top"/>
    </xf>
    <xf numFmtId="178" fontId="43" fillId="26" borderId="0" xfId="0" applyNumberFormat="1" applyFont="1" applyFill="1" applyAlignment="1">
      <alignment vertical="top"/>
    </xf>
    <xf numFmtId="170" fontId="41" fillId="0" borderId="0" xfId="0" applyNumberFormat="1" applyFont="1" applyFill="1" applyBorder="1" applyAlignment="1">
      <alignment horizontal="right"/>
    </xf>
    <xf numFmtId="174" fontId="41" fillId="42" borderId="0" xfId="0" applyNumberFormat="1" applyFont="1" applyFill="1" applyBorder="1" applyAlignment="1">
      <alignment horizontal="center"/>
    </xf>
    <xf numFmtId="174" fontId="43" fillId="42" borderId="34" xfId="0" applyNumberFormat="1" applyFont="1" applyFill="1" applyBorder="1" applyAlignment="1">
      <alignment horizontal="left"/>
    </xf>
    <xf numFmtId="170" fontId="41" fillId="0" borderId="33" xfId="0" applyNumberFormat="1" applyFont="1" applyFill="1" applyBorder="1" applyAlignment="1">
      <alignment horizontal="right"/>
    </xf>
    <xf numFmtId="0" fontId="44" fillId="41" borderId="0" xfId="0" applyFont="1" applyFill="1" applyBorder="1" applyAlignment="1">
      <alignment horizontal="center"/>
    </xf>
    <xf numFmtId="166" fontId="41" fillId="42" borderId="44" xfId="0" applyNumberFormat="1" applyFont="1" applyFill="1" applyBorder="1" applyAlignment="1">
      <alignment horizontal="left"/>
    </xf>
    <xf numFmtId="0" fontId="42" fillId="41" borderId="0" xfId="0" applyFont="1" applyFill="1" applyBorder="1"/>
    <xf numFmtId="0" fontId="43" fillId="41" borderId="0" xfId="0" applyFont="1" applyFill="1" applyBorder="1"/>
    <xf numFmtId="0" fontId="56" fillId="21" borderId="57" xfId="0" applyFont="1" applyFill="1" applyBorder="1" applyAlignment="1">
      <alignment vertical="center"/>
    </xf>
    <xf numFmtId="0" fontId="56" fillId="21" borderId="58" xfId="0" applyFont="1" applyFill="1" applyBorder="1" applyAlignment="1">
      <alignment horizontal="center" vertical="center"/>
    </xf>
    <xf numFmtId="0" fontId="56" fillId="21" borderId="58" xfId="0" applyFont="1" applyFill="1" applyBorder="1" applyAlignment="1">
      <alignment vertical="center"/>
    </xf>
    <xf numFmtId="0" fontId="41" fillId="21" borderId="60" xfId="0" applyFont="1" applyFill="1" applyBorder="1"/>
    <xf numFmtId="0" fontId="41" fillId="21" borderId="61" xfId="0" applyFont="1" applyFill="1" applyBorder="1" applyAlignment="1">
      <alignment horizontal="center"/>
    </xf>
    <xf numFmtId="0" fontId="41" fillId="21" borderId="61" xfId="0" applyFont="1" applyFill="1" applyBorder="1" applyAlignment="1">
      <alignment horizontal="left"/>
    </xf>
    <xf numFmtId="0" fontId="41" fillId="41" borderId="63" xfId="0" applyFont="1" applyFill="1" applyBorder="1" applyAlignment="1">
      <alignment vertical="top"/>
    </xf>
    <xf numFmtId="0" fontId="41" fillId="41" borderId="64" xfId="0" applyFont="1" applyFill="1" applyBorder="1" applyAlignment="1">
      <alignment horizontal="center" vertical="top" wrapText="1"/>
    </xf>
    <xf numFmtId="0" fontId="41" fillId="41" borderId="64" xfId="0" applyFont="1" applyFill="1" applyBorder="1" applyAlignment="1">
      <alignment horizontal="center" vertical="top"/>
    </xf>
    <xf numFmtId="0" fontId="41" fillId="41" borderId="64" xfId="0" applyFont="1" applyFill="1" applyBorder="1" applyAlignment="1">
      <alignment vertical="top"/>
    </xf>
    <xf numFmtId="0" fontId="43" fillId="21" borderId="45" xfId="0" quotePrefix="1" applyFont="1" applyFill="1" applyBorder="1"/>
    <xf numFmtId="0" fontId="41" fillId="21" borderId="45" xfId="0" applyFont="1" applyFill="1" applyBorder="1"/>
    <xf numFmtId="0" fontId="52" fillId="0" borderId="0" xfId="0" applyFont="1" applyFill="1" applyBorder="1"/>
    <xf numFmtId="0" fontId="41" fillId="21" borderId="67" xfId="0" applyFont="1" applyFill="1" applyBorder="1" applyAlignment="1">
      <alignment horizontal="center"/>
    </xf>
    <xf numFmtId="0" fontId="41" fillId="21" borderId="58" xfId="0" applyFont="1" applyFill="1" applyBorder="1" applyAlignment="1">
      <alignment horizontal="center"/>
    </xf>
    <xf numFmtId="0" fontId="41" fillId="21" borderId="59" xfId="0" applyFont="1" applyFill="1" applyBorder="1"/>
    <xf numFmtId="0" fontId="41" fillId="21" borderId="62" xfId="0" applyFont="1" applyFill="1" applyBorder="1"/>
    <xf numFmtId="0" fontId="41" fillId="21" borderId="61" xfId="0" quotePrefix="1" applyFont="1" applyFill="1" applyBorder="1" applyAlignment="1">
      <alignment horizontal="center"/>
    </xf>
    <xf numFmtId="16" fontId="41" fillId="21" borderId="61" xfId="0" quotePrefix="1" applyNumberFormat="1" applyFont="1" applyFill="1" applyBorder="1" applyAlignment="1">
      <alignment horizontal="center"/>
    </xf>
    <xf numFmtId="0" fontId="50" fillId="0" borderId="0" xfId="0" applyFont="1" applyFill="1" applyBorder="1" applyAlignment="1">
      <alignment horizontal="center" vertical="top"/>
    </xf>
    <xf numFmtId="0" fontId="50" fillId="0" borderId="0" xfId="0" applyFont="1" applyFill="1" applyBorder="1"/>
    <xf numFmtId="0" fontId="44" fillId="41" borderId="69" xfId="0" applyFont="1" applyFill="1" applyBorder="1" applyAlignment="1">
      <alignment horizontal="center"/>
    </xf>
    <xf numFmtId="0" fontId="44" fillId="41" borderId="64" xfId="0" applyFont="1" applyFill="1" applyBorder="1" applyAlignment="1">
      <alignment horizontal="center"/>
    </xf>
    <xf numFmtId="0" fontId="44" fillId="41" borderId="65" xfId="0" applyFont="1" applyFill="1" applyBorder="1"/>
    <xf numFmtId="0" fontId="51" fillId="41" borderId="64" xfId="0" applyFont="1" applyFill="1" applyBorder="1" applyAlignment="1">
      <alignment horizontal="center" vertical="top" wrapText="1"/>
    </xf>
    <xf numFmtId="0" fontId="44" fillId="41" borderId="65" xfId="0" applyFont="1" applyFill="1" applyBorder="1" applyAlignment="1">
      <alignment horizontal="center" vertical="top"/>
    </xf>
    <xf numFmtId="0" fontId="44" fillId="21" borderId="0" xfId="0" applyFont="1" applyFill="1" applyBorder="1"/>
    <xf numFmtId="0" fontId="44" fillId="21" borderId="0" xfId="0" applyFont="1" applyFill="1" applyBorder="1" applyAlignment="1">
      <alignment horizontal="center"/>
    </xf>
    <xf numFmtId="0" fontId="44" fillId="41" borderId="0" xfId="0" applyFont="1" applyFill="1" applyBorder="1"/>
    <xf numFmtId="0" fontId="51" fillId="41" borderId="63" xfId="0" applyFont="1" applyFill="1" applyBorder="1" applyAlignment="1">
      <alignment horizontal="center" vertical="top" wrapText="1"/>
    </xf>
    <xf numFmtId="0" fontId="44" fillId="41" borderId="68" xfId="0" applyFont="1" applyFill="1" applyBorder="1" applyAlignment="1">
      <alignment horizontal="center"/>
    </xf>
    <xf numFmtId="0" fontId="41" fillId="21" borderId="66" xfId="0" applyFont="1" applyFill="1" applyBorder="1" applyAlignment="1">
      <alignment horizontal="center"/>
    </xf>
    <xf numFmtId="0" fontId="41" fillId="21" borderId="60" xfId="0" applyFont="1" applyFill="1" applyBorder="1" applyAlignment="1">
      <alignment horizontal="center"/>
    </xf>
    <xf numFmtId="0" fontId="41" fillId="21" borderId="60" xfId="0" quotePrefix="1" applyFont="1" applyFill="1" applyBorder="1" applyAlignment="1">
      <alignment horizontal="center"/>
    </xf>
    <xf numFmtId="0" fontId="51" fillId="41" borderId="0" xfId="0" applyFont="1" applyFill="1" applyBorder="1" applyAlignment="1">
      <alignment horizontal="center" vertical="top"/>
    </xf>
    <xf numFmtId="0" fontId="44" fillId="41" borderId="8" xfId="0" applyFont="1" applyFill="1" applyBorder="1"/>
    <xf numFmtId="0" fontId="41" fillId="21" borderId="70" xfId="0" applyFont="1" applyFill="1" applyBorder="1"/>
    <xf numFmtId="0" fontId="43" fillId="21" borderId="45" xfId="0" applyFont="1" applyFill="1" applyBorder="1"/>
    <xf numFmtId="178" fontId="41" fillId="0" borderId="0" xfId="0" applyNumberFormat="1" applyFont="1" applyFill="1" applyBorder="1" applyAlignment="1">
      <alignment vertical="top"/>
    </xf>
    <xf numFmtId="0" fontId="44" fillId="41" borderId="0" xfId="0" applyFont="1" applyFill="1"/>
    <xf numFmtId="0" fontId="41" fillId="19" borderId="61" xfId="0" applyFont="1" applyFill="1" applyBorder="1" applyAlignment="1">
      <alignment horizontal="center"/>
    </xf>
    <xf numFmtId="0" fontId="41" fillId="19" borderId="61" xfId="0" quotePrefix="1" applyFont="1" applyFill="1" applyBorder="1" applyAlignment="1">
      <alignment horizontal="center"/>
    </xf>
    <xf numFmtId="0" fontId="83" fillId="46" borderId="74" xfId="0" applyFont="1" applyFill="1" applyBorder="1" applyAlignment="1">
      <alignment vertical="center" wrapText="1"/>
    </xf>
    <xf numFmtId="0" fontId="84" fillId="47" borderId="72" xfId="0" applyFont="1" applyFill="1" applyBorder="1" applyAlignment="1">
      <alignment vertical="center" wrapText="1"/>
    </xf>
    <xf numFmtId="0" fontId="85" fillId="48" borderId="72" xfId="0" applyFont="1" applyFill="1" applyBorder="1" applyAlignment="1">
      <alignment vertical="center" wrapText="1"/>
    </xf>
    <xf numFmtId="0" fontId="86" fillId="49" borderId="72" xfId="0" applyFont="1" applyFill="1" applyBorder="1" applyAlignment="1">
      <alignment vertical="center" wrapText="1"/>
    </xf>
    <xf numFmtId="0" fontId="87" fillId="50" borderId="72" xfId="0" applyFont="1" applyFill="1" applyBorder="1" applyAlignment="1">
      <alignment vertical="center" wrapText="1"/>
    </xf>
    <xf numFmtId="0" fontId="88" fillId="51" borderId="72" xfId="0" applyFont="1" applyFill="1" applyBorder="1" applyAlignment="1">
      <alignment vertical="center" wrapText="1"/>
    </xf>
    <xf numFmtId="0" fontId="89" fillId="52" borderId="72" xfId="0" applyFont="1" applyFill="1" applyBorder="1" applyAlignment="1">
      <alignment vertical="center" wrapText="1"/>
    </xf>
    <xf numFmtId="0" fontId="90" fillId="53" borderId="72" xfId="0" applyFont="1" applyFill="1" applyBorder="1" applyAlignment="1">
      <alignment vertical="center" wrapText="1"/>
    </xf>
    <xf numFmtId="0" fontId="91" fillId="54" borderId="72" xfId="0" applyFont="1" applyFill="1" applyBorder="1" applyAlignment="1">
      <alignment vertical="center" wrapText="1"/>
    </xf>
    <xf numFmtId="0" fontId="92" fillId="55" borderId="72" xfId="0" applyFont="1" applyFill="1" applyBorder="1" applyAlignment="1">
      <alignment vertical="center" wrapText="1"/>
    </xf>
    <xf numFmtId="0" fontId="93" fillId="56" borderId="72" xfId="0" applyFont="1" applyFill="1" applyBorder="1" applyAlignment="1">
      <alignment vertical="center" wrapText="1"/>
    </xf>
    <xf numFmtId="0" fontId="94" fillId="57" borderId="72" xfId="0" applyFont="1" applyFill="1" applyBorder="1" applyAlignment="1">
      <alignment vertical="center" wrapText="1"/>
    </xf>
    <xf numFmtId="0" fontId="95" fillId="58" borderId="72" xfId="0" applyFont="1" applyFill="1" applyBorder="1" applyAlignment="1">
      <alignment vertical="center" wrapText="1"/>
    </xf>
    <xf numFmtId="0" fontId="96" fillId="59" borderId="72" xfId="0" applyFont="1" applyFill="1" applyBorder="1" applyAlignment="1">
      <alignment vertical="center" wrapText="1"/>
    </xf>
    <xf numFmtId="0" fontId="97" fillId="60" borderId="72" xfId="0" applyFont="1" applyFill="1" applyBorder="1" applyAlignment="1">
      <alignment vertical="center" wrapText="1"/>
    </xf>
    <xf numFmtId="0" fontId="98" fillId="61" borderId="72" xfId="0" applyFont="1" applyFill="1" applyBorder="1" applyAlignment="1">
      <alignment vertical="center" wrapText="1"/>
    </xf>
    <xf numFmtId="0" fontId="99" fillId="62" borderId="72" xfId="0" applyFont="1" applyFill="1" applyBorder="1" applyAlignment="1">
      <alignment vertical="center" wrapText="1"/>
    </xf>
    <xf numFmtId="0" fontId="100" fillId="63" borderId="72" xfId="0" applyFont="1" applyFill="1" applyBorder="1" applyAlignment="1">
      <alignment vertical="center" wrapText="1"/>
    </xf>
    <xf numFmtId="0" fontId="101" fillId="64" borderId="72" xfId="0" applyFont="1" applyFill="1" applyBorder="1" applyAlignment="1">
      <alignment vertical="center" wrapText="1"/>
    </xf>
    <xf numFmtId="0" fontId="102" fillId="65" borderId="72" xfId="0" applyFont="1" applyFill="1" applyBorder="1" applyAlignment="1">
      <alignment vertical="center" wrapText="1"/>
    </xf>
    <xf numFmtId="0" fontId="103" fillId="66" borderId="72" xfId="0" applyFont="1" applyFill="1" applyBorder="1" applyAlignment="1">
      <alignment vertical="center" wrapText="1"/>
    </xf>
    <xf numFmtId="0" fontId="104" fillId="67" borderId="72" xfId="0" applyFont="1" applyFill="1" applyBorder="1" applyAlignment="1">
      <alignment vertical="center" wrapText="1"/>
    </xf>
    <xf numFmtId="0" fontId="105" fillId="68" borderId="72" xfId="0" applyFont="1" applyFill="1" applyBorder="1" applyAlignment="1">
      <alignment vertical="center" wrapText="1"/>
    </xf>
    <xf numFmtId="0" fontId="106" fillId="69" borderId="72" xfId="0" applyFont="1" applyFill="1" applyBorder="1" applyAlignment="1">
      <alignment vertical="center" wrapText="1"/>
    </xf>
    <xf numFmtId="0" fontId="107" fillId="70" borderId="72" xfId="0" applyFont="1" applyFill="1" applyBorder="1" applyAlignment="1">
      <alignment vertical="center" wrapText="1"/>
    </xf>
    <xf numFmtId="0" fontId="108" fillId="71" borderId="72" xfId="0" applyFont="1" applyFill="1" applyBorder="1" applyAlignment="1">
      <alignment vertical="center" wrapText="1"/>
    </xf>
    <xf numFmtId="0" fontId="109" fillId="72" borderId="72" xfId="0" applyFont="1" applyFill="1" applyBorder="1" applyAlignment="1">
      <alignment vertical="center" wrapText="1"/>
    </xf>
    <xf numFmtId="0" fontId="110" fillId="73" borderId="72" xfId="0" applyFont="1" applyFill="1" applyBorder="1" applyAlignment="1">
      <alignment vertical="center" wrapText="1"/>
    </xf>
    <xf numFmtId="0" fontId="111" fillId="74" borderId="72" xfId="0" applyFont="1" applyFill="1" applyBorder="1" applyAlignment="1">
      <alignment vertical="center" wrapText="1"/>
    </xf>
    <xf numFmtId="0" fontId="112" fillId="75" borderId="72" xfId="0" applyFont="1" applyFill="1" applyBorder="1" applyAlignment="1">
      <alignment vertical="center" wrapText="1"/>
    </xf>
    <xf numFmtId="0" fontId="113" fillId="76" borderId="72" xfId="0" applyFont="1" applyFill="1" applyBorder="1" applyAlignment="1">
      <alignment vertical="center" wrapText="1"/>
    </xf>
    <xf numFmtId="0" fontId="114" fillId="77" borderId="72" xfId="0" applyFont="1" applyFill="1" applyBorder="1" applyAlignment="1">
      <alignment vertical="center" wrapText="1"/>
    </xf>
    <xf numFmtId="0" fontId="115" fillId="78" borderId="72" xfId="0" applyFont="1" applyFill="1" applyBorder="1" applyAlignment="1">
      <alignment vertical="center" wrapText="1"/>
    </xf>
    <xf numFmtId="0" fontId="116" fillId="79" borderId="72" xfId="0" applyFont="1" applyFill="1" applyBorder="1" applyAlignment="1">
      <alignment vertical="center" wrapText="1"/>
    </xf>
    <xf numFmtId="0" fontId="117" fillId="80" borderId="72" xfId="0" applyFont="1" applyFill="1" applyBorder="1" applyAlignment="1">
      <alignment vertical="center" wrapText="1"/>
    </xf>
    <xf numFmtId="0" fontId="118" fillId="81" borderId="72" xfId="0" applyFont="1" applyFill="1" applyBorder="1" applyAlignment="1">
      <alignment vertical="center" wrapText="1"/>
    </xf>
    <xf numFmtId="0" fontId="119" fillId="82" borderId="72" xfId="0" applyFont="1" applyFill="1" applyBorder="1" applyAlignment="1">
      <alignment vertical="center" wrapText="1"/>
    </xf>
    <xf numFmtId="0" fontId="120" fillId="83" borderId="72" xfId="0" applyFont="1" applyFill="1" applyBorder="1" applyAlignment="1">
      <alignment vertical="center" wrapText="1"/>
    </xf>
    <xf numFmtId="0" fontId="121" fillId="84" borderId="72" xfId="0" applyFont="1" applyFill="1" applyBorder="1" applyAlignment="1">
      <alignment vertical="center" wrapText="1"/>
    </xf>
    <xf numFmtId="1" fontId="41" fillId="21" borderId="0" xfId="0" applyNumberFormat="1" applyFont="1" applyFill="1"/>
    <xf numFmtId="1" fontId="41" fillId="41" borderId="64" xfId="0" applyNumberFormat="1" applyFont="1" applyFill="1" applyBorder="1" applyAlignment="1">
      <alignment horizontal="center" vertical="top" wrapText="1"/>
    </xf>
    <xf numFmtId="1" fontId="56" fillId="19" borderId="58" xfId="0" applyNumberFormat="1" applyFont="1" applyFill="1" applyBorder="1" applyAlignment="1">
      <alignment horizontal="center" vertical="center" wrapText="1"/>
    </xf>
    <xf numFmtId="1" fontId="57" fillId="21" borderId="61" xfId="0" applyNumberFormat="1" applyFont="1" applyFill="1" applyBorder="1" applyAlignment="1">
      <alignment horizontal="center"/>
    </xf>
    <xf numFmtId="1" fontId="41" fillId="0" borderId="0" xfId="0" applyNumberFormat="1" applyFont="1"/>
    <xf numFmtId="1" fontId="41" fillId="19" borderId="61" xfId="0" applyNumberFormat="1" applyFont="1" applyFill="1" applyBorder="1" applyAlignment="1">
      <alignment horizontal="right"/>
    </xf>
    <xf numFmtId="1" fontId="57" fillId="19" borderId="61" xfId="0" applyNumberFormat="1" applyFont="1" applyFill="1" applyBorder="1" applyAlignment="1">
      <alignment horizontal="right"/>
    </xf>
    <xf numFmtId="164" fontId="41" fillId="19" borderId="61" xfId="0" applyNumberFormat="1" applyFont="1" applyFill="1" applyBorder="1" applyAlignment="1">
      <alignment horizontal="right"/>
    </xf>
    <xf numFmtId="0" fontId="41" fillId="21" borderId="0" xfId="0" applyFont="1" applyFill="1" applyAlignment="1">
      <alignment horizontal="left"/>
    </xf>
    <xf numFmtId="0" fontId="41" fillId="41" borderId="0" xfId="0" applyFont="1" applyFill="1" applyBorder="1" applyAlignment="1">
      <alignment horizontal="left"/>
    </xf>
    <xf numFmtId="0" fontId="41" fillId="41" borderId="65" xfId="0" applyFont="1" applyFill="1" applyBorder="1" applyAlignment="1">
      <alignment horizontal="left" vertical="top"/>
    </xf>
    <xf numFmtId="0" fontId="56" fillId="21" borderId="59" xfId="0" applyFont="1" applyFill="1" applyBorder="1" applyAlignment="1">
      <alignment horizontal="left" vertical="center"/>
    </xf>
    <xf numFmtId="0" fontId="41" fillId="21" borderId="62" xfId="0" applyFont="1" applyFill="1" applyBorder="1" applyAlignment="1">
      <alignment horizontal="left"/>
    </xf>
    <xf numFmtId="0" fontId="41" fillId="0" borderId="0" xfId="0" applyFont="1" applyAlignment="1">
      <alignment horizontal="left"/>
    </xf>
    <xf numFmtId="0" fontId="123" fillId="21" borderId="0" xfId="0" applyFont="1" applyFill="1"/>
    <xf numFmtId="0" fontId="44" fillId="21" borderId="60" xfId="0" applyFont="1" applyFill="1" applyBorder="1" applyAlignment="1">
      <alignment vertical="center"/>
    </xf>
    <xf numFmtId="0" fontId="41" fillId="21" borderId="0" xfId="0" applyFont="1" applyFill="1" applyBorder="1" applyAlignment="1">
      <alignment horizontal="center"/>
    </xf>
    <xf numFmtId="0" fontId="41" fillId="41" borderId="0" xfId="0" applyFont="1" applyFill="1" applyAlignment="1">
      <alignment vertical="top"/>
    </xf>
    <xf numFmtId="0" fontId="43" fillId="41" borderId="64" xfId="0" applyFont="1" applyFill="1" applyBorder="1"/>
    <xf numFmtId="0" fontId="41" fillId="41" borderId="64" xfId="0" applyFont="1" applyFill="1" applyBorder="1" applyAlignment="1">
      <alignment horizontal="left"/>
    </xf>
    <xf numFmtId="0" fontId="41" fillId="42" borderId="47" xfId="0" applyFont="1" applyFill="1" applyBorder="1" applyAlignment="1">
      <alignment horizontal="right"/>
    </xf>
    <xf numFmtId="198" fontId="41" fillId="42" borderId="44" xfId="0" applyNumberFormat="1" applyFont="1" applyFill="1" applyBorder="1" applyAlignment="1">
      <alignment horizontal="left"/>
    </xf>
    <xf numFmtId="0" fontId="54" fillId="41" borderId="79" xfId="0" applyFont="1" applyFill="1" applyBorder="1" applyAlignment="1">
      <alignment horizontal="center" vertical="top" wrapText="1"/>
    </xf>
    <xf numFmtId="0" fontId="54" fillId="41" borderId="80" xfId="0" applyFont="1" applyFill="1" applyBorder="1" applyAlignment="1">
      <alignment vertical="top"/>
    </xf>
    <xf numFmtId="0" fontId="54" fillId="41" borderId="80" xfId="0" applyFont="1" applyFill="1" applyBorder="1" applyAlignment="1">
      <alignment horizontal="right" vertical="top"/>
    </xf>
    <xf numFmtId="0" fontId="54" fillId="41" borderId="80" xfId="0" applyFont="1" applyFill="1" applyBorder="1" applyAlignment="1">
      <alignment horizontal="center" vertical="top" wrapText="1"/>
    </xf>
    <xf numFmtId="0" fontId="54" fillId="41" borderId="81" xfId="0" applyFont="1" applyFill="1" applyBorder="1" applyAlignment="1">
      <alignment horizontal="center" vertical="top" wrapText="1"/>
    </xf>
    <xf numFmtId="0" fontId="41" fillId="42" borderId="0" xfId="0" applyFont="1" applyFill="1" applyAlignment="1">
      <alignment wrapText="1"/>
    </xf>
    <xf numFmtId="0" fontId="41" fillId="42" borderId="0" xfId="0" applyFont="1" applyFill="1" applyAlignment="1"/>
    <xf numFmtId="0" fontId="71" fillId="43" borderId="75" xfId="0" applyFont="1" applyFill="1" applyBorder="1" applyAlignment="1">
      <alignment horizontal="right" vertical="center" wrapText="1"/>
    </xf>
    <xf numFmtId="0" fontId="71" fillId="43" borderId="78" xfId="0" applyFont="1" applyFill="1" applyBorder="1" applyAlignment="1">
      <alignment horizontal="right" vertical="center" wrapText="1"/>
    </xf>
    <xf numFmtId="0" fontId="44" fillId="0" borderId="0" xfId="0" applyFont="1" applyAlignment="1">
      <alignment vertical="center"/>
    </xf>
    <xf numFmtId="0" fontId="47" fillId="45" borderId="51" xfId="199" applyFont="1" applyFill="1" applyBorder="1" applyAlignment="1">
      <alignment horizontal="right"/>
    </xf>
    <xf numFmtId="195" fontId="46" fillId="45" borderId="52" xfId="199" applyNumberFormat="1" applyFont="1" applyFill="1" applyBorder="1" applyAlignment="1">
      <alignment horizontal="right"/>
    </xf>
    <xf numFmtId="164" fontId="46" fillId="86" borderId="53" xfId="199" applyNumberFormat="1" applyFont="1" applyFill="1" applyBorder="1"/>
    <xf numFmtId="195" fontId="46" fillId="45" borderId="54" xfId="199" applyNumberFormat="1" applyFont="1" applyFill="1" applyBorder="1" applyAlignment="1">
      <alignment horizontal="right"/>
    </xf>
    <xf numFmtId="164" fontId="46" fillId="86" borderId="55" xfId="199" applyNumberFormat="1" applyFont="1" applyFill="1" applyBorder="1"/>
    <xf numFmtId="164" fontId="46" fillId="86" borderId="56" xfId="199" applyNumberFormat="1" applyFont="1" applyFill="1" applyBorder="1"/>
    <xf numFmtId="178" fontId="41" fillId="0" borderId="0" xfId="0" applyNumberFormat="1" applyFont="1" applyFill="1" applyAlignment="1">
      <alignment vertical="top"/>
    </xf>
    <xf numFmtId="164" fontId="41" fillId="0" borderId="33" xfId="0" applyNumberFormat="1" applyFont="1" applyFill="1" applyBorder="1"/>
    <xf numFmtId="17" fontId="41" fillId="21" borderId="15" xfId="0" quotePrefix="1" applyNumberFormat="1" applyFont="1" applyFill="1" applyBorder="1" applyAlignment="1">
      <alignment horizontal="center" vertical="top"/>
    </xf>
    <xf numFmtId="0" fontId="41" fillId="19" borderId="44" xfId="0" applyFont="1" applyFill="1" applyBorder="1" applyAlignment="1">
      <alignment horizontal="left"/>
    </xf>
    <xf numFmtId="14" fontId="41" fillId="19" borderId="45" xfId="0" applyNumberFormat="1" applyFont="1" applyFill="1" applyBorder="1" applyAlignment="1">
      <alignment horizontal="left"/>
    </xf>
    <xf numFmtId="0" fontId="41" fillId="0" borderId="38" xfId="0" applyFont="1" applyFill="1" applyBorder="1"/>
    <xf numFmtId="0" fontId="48" fillId="43" borderId="0" xfId="0" applyFont="1" applyFill="1"/>
    <xf numFmtId="0" fontId="48" fillId="43" borderId="0" xfId="0" applyFont="1" applyFill="1" applyBorder="1"/>
    <xf numFmtId="0" fontId="41" fillId="43" borderId="0" xfId="0" applyFont="1" applyFill="1"/>
    <xf numFmtId="0" fontId="41" fillId="43" borderId="0" xfId="0" applyFont="1" applyFill="1" applyBorder="1"/>
    <xf numFmtId="0" fontId="54" fillId="43" borderId="0" xfId="0" applyFont="1" applyFill="1"/>
    <xf numFmtId="0" fontId="54" fillId="43" borderId="0" xfId="0" applyFont="1" applyFill="1" applyBorder="1"/>
    <xf numFmtId="0" fontId="45" fillId="43" borderId="0" xfId="0" applyFont="1" applyFill="1"/>
    <xf numFmtId="0" fontId="45" fillId="43" borderId="0" xfId="0" applyFont="1" applyFill="1" applyBorder="1"/>
    <xf numFmtId="0" fontId="41" fillId="43" borderId="39" xfId="0" applyFont="1" applyFill="1" applyBorder="1"/>
    <xf numFmtId="164" fontId="41" fillId="43" borderId="0" xfId="0" applyNumberFormat="1" applyFont="1" applyFill="1" applyBorder="1"/>
    <xf numFmtId="0" fontId="41" fillId="43" borderId="40" xfId="0" applyFont="1" applyFill="1" applyBorder="1"/>
    <xf numFmtId="164" fontId="41" fillId="43" borderId="0" xfId="0" applyNumberFormat="1" applyFont="1" applyFill="1"/>
    <xf numFmtId="0" fontId="42" fillId="43" borderId="0" xfId="0" applyFont="1" applyFill="1"/>
    <xf numFmtId="0" fontId="42" fillId="43" borderId="0" xfId="0" applyFont="1" applyFill="1" applyBorder="1"/>
    <xf numFmtId="0" fontId="43" fillId="43" borderId="0" xfId="0" applyFont="1" applyFill="1"/>
    <xf numFmtId="0" fontId="41" fillId="0" borderId="36" xfId="0" applyFont="1" applyFill="1" applyBorder="1"/>
    <xf numFmtId="0" fontId="41" fillId="0" borderId="35" xfId="0" applyFont="1" applyFill="1" applyBorder="1"/>
    <xf numFmtId="0" fontId="65" fillId="87" borderId="0" xfId="0" applyFont="1" applyFill="1" applyAlignment="1">
      <alignment vertical="top"/>
    </xf>
    <xf numFmtId="0" fontId="65" fillId="87" borderId="0" xfId="0" applyFont="1" applyFill="1"/>
    <xf numFmtId="0" fontId="65" fillId="87" borderId="0" xfId="0" applyFont="1" applyFill="1" applyBorder="1"/>
    <xf numFmtId="0" fontId="52" fillId="87" borderId="0" xfId="0" applyFont="1" applyFill="1" applyAlignment="1">
      <alignment horizontal="right" wrapText="1"/>
    </xf>
    <xf numFmtId="0" fontId="52" fillId="87" borderId="0" xfId="0" applyFont="1" applyFill="1" applyBorder="1" applyAlignment="1">
      <alignment horizontal="right" wrapText="1"/>
    </xf>
    <xf numFmtId="0" fontId="66" fillId="87" borderId="0" xfId="0" applyFont="1" applyFill="1" applyAlignment="1">
      <alignment horizontal="right" wrapText="1"/>
    </xf>
    <xf numFmtId="0" fontId="66" fillId="87" borderId="0" xfId="0" applyFont="1" applyFill="1" applyBorder="1" applyAlignment="1">
      <alignment horizontal="right" wrapText="1"/>
    </xf>
    <xf numFmtId="0" fontId="52" fillId="87" borderId="0" xfId="0" applyFont="1" applyFill="1"/>
    <xf numFmtId="0" fontId="52" fillId="87" borderId="0" xfId="0" applyFont="1" applyFill="1" applyBorder="1"/>
    <xf numFmtId="0" fontId="41" fillId="0" borderId="37" xfId="0" applyFont="1" applyFill="1" applyBorder="1"/>
    <xf numFmtId="0" fontId="41" fillId="87" borderId="0" xfId="0" applyFont="1" applyFill="1"/>
    <xf numFmtId="0" fontId="81" fillId="43" borderId="0" xfId="199" applyFont="1" applyFill="1"/>
    <xf numFmtId="0" fontId="1" fillId="43" borderId="0" xfId="199" applyFill="1"/>
    <xf numFmtId="0" fontId="0" fillId="43" borderId="0" xfId="0" applyFill="1"/>
    <xf numFmtId="0" fontId="1" fillId="43" borderId="0" xfId="199" applyFont="1" applyFill="1" applyAlignment="1">
      <alignment horizontal="left" wrapText="1"/>
    </xf>
    <xf numFmtId="0" fontId="44" fillId="43" borderId="0" xfId="0" applyFont="1" applyFill="1"/>
    <xf numFmtId="0" fontId="47" fillId="43" borderId="0" xfId="199" applyFont="1" applyFill="1"/>
    <xf numFmtId="0" fontId="46" fillId="43" borderId="0" xfId="199" applyFont="1" applyFill="1"/>
    <xf numFmtId="0" fontId="47" fillId="43" borderId="0" xfId="199" applyFont="1" applyFill="1" applyBorder="1"/>
    <xf numFmtId="0" fontId="47" fillId="43" borderId="22" xfId="199" applyFont="1" applyFill="1" applyBorder="1" applyAlignment="1">
      <alignment horizontal="right"/>
    </xf>
    <xf numFmtId="170" fontId="124" fillId="87" borderId="87" xfId="199" applyNumberFormat="1" applyFont="1" applyFill="1" applyBorder="1" applyAlignment="1">
      <alignment vertical="center"/>
    </xf>
    <xf numFmtId="170" fontId="124" fillId="87" borderId="85" xfId="199" applyNumberFormat="1" applyFont="1" applyFill="1" applyBorder="1" applyAlignment="1">
      <alignment vertical="center"/>
    </xf>
    <xf numFmtId="170" fontId="124" fillId="87" borderId="88" xfId="199" applyNumberFormat="1" applyFont="1" applyFill="1" applyBorder="1" applyAlignment="1">
      <alignment vertical="center"/>
    </xf>
    <xf numFmtId="0" fontId="80" fillId="87" borderId="82" xfId="0" applyFont="1" applyFill="1" applyBorder="1" applyAlignment="1">
      <alignment horizontal="right" vertical="center" wrapText="1"/>
    </xf>
    <xf numFmtId="0" fontId="80" fillId="87" borderId="84" xfId="0" applyFont="1" applyFill="1" applyBorder="1" applyAlignment="1">
      <alignment horizontal="right" vertical="center" wrapText="1"/>
    </xf>
    <xf numFmtId="0" fontId="80" fillId="87" borderId="84" xfId="0" applyFont="1" applyFill="1" applyBorder="1" applyAlignment="1">
      <alignment horizontal="right" vertical="center"/>
    </xf>
    <xf numFmtId="0" fontId="80" fillId="87" borderId="83" xfId="0" applyFont="1" applyFill="1" applyBorder="1" applyAlignment="1">
      <alignment horizontal="right" vertical="center"/>
    </xf>
    <xf numFmtId="0" fontId="80" fillId="87" borderId="82" xfId="0" applyFont="1" applyFill="1" applyBorder="1" applyAlignment="1">
      <alignment horizontal="center" vertical="center" wrapText="1"/>
    </xf>
    <xf numFmtId="0" fontId="80" fillId="87" borderId="84" xfId="0" applyFont="1" applyFill="1" applyBorder="1" applyAlignment="1">
      <alignment horizontal="center" vertical="center" wrapText="1"/>
    </xf>
    <xf numFmtId="0" fontId="80" fillId="87" borderId="83" xfId="0" applyFont="1" applyFill="1" applyBorder="1" applyAlignment="1">
      <alignment horizontal="center" vertical="center" wrapText="1"/>
    </xf>
    <xf numFmtId="0" fontId="49" fillId="43" borderId="0" xfId="195" applyFont="1" applyFill="1" applyAlignment="1">
      <alignment horizontal="left"/>
    </xf>
    <xf numFmtId="0" fontId="47" fillId="43" borderId="0" xfId="195" applyFont="1" applyFill="1" applyAlignment="1">
      <alignment horizontal="center"/>
    </xf>
    <xf numFmtId="0" fontId="47" fillId="43" borderId="0" xfId="195" applyFont="1" applyFill="1" applyAlignment="1">
      <alignment horizontal="right"/>
    </xf>
    <xf numFmtId="0" fontId="47" fillId="43" borderId="0" xfId="195" applyFont="1" applyFill="1"/>
    <xf numFmtId="0" fontId="44" fillId="43" borderId="0" xfId="0" applyFont="1" applyFill="1" applyAlignment="1">
      <alignment vertical="center"/>
    </xf>
    <xf numFmtId="0" fontId="46" fillId="43" borderId="0" xfId="195" applyFont="1" applyFill="1" applyAlignment="1">
      <alignment vertical="center"/>
    </xf>
    <xf numFmtId="0" fontId="46" fillId="43" borderId="0" xfId="195" applyFont="1" applyFill="1"/>
    <xf numFmtId="0" fontId="71" fillId="43" borderId="0" xfId="0" applyFont="1" applyFill="1" applyAlignment="1">
      <alignment vertical="center"/>
    </xf>
    <xf numFmtId="0" fontId="45" fillId="43" borderId="74" xfId="0" applyFont="1" applyFill="1" applyBorder="1" applyAlignment="1">
      <alignment horizontal="center" vertical="center" wrapText="1"/>
    </xf>
    <xf numFmtId="0" fontId="71" fillId="43" borderId="74" xfId="0" applyFont="1" applyFill="1" applyBorder="1" applyAlignment="1">
      <alignment horizontal="center" vertical="center" wrapText="1"/>
    </xf>
    <xf numFmtId="0" fontId="71" fillId="43" borderId="76" xfId="0" applyFont="1" applyFill="1" applyBorder="1" applyAlignment="1">
      <alignment horizontal="right" vertical="center"/>
    </xf>
    <xf numFmtId="0" fontId="71" fillId="43" borderId="74" xfId="0" applyFont="1" applyFill="1" applyBorder="1" applyAlignment="1">
      <alignment horizontal="right" vertical="center"/>
    </xf>
    <xf numFmtId="0" fontId="71" fillId="43" borderId="77" xfId="0" applyFont="1" applyFill="1" applyBorder="1" applyAlignment="1">
      <alignment horizontal="right" vertical="center"/>
    </xf>
    <xf numFmtId="0" fontId="45" fillId="43" borderId="72" xfId="0" applyFont="1" applyFill="1" applyBorder="1" applyAlignment="1">
      <alignment horizontal="center" vertical="center" wrapText="1"/>
    </xf>
    <xf numFmtId="0" fontId="71" fillId="43" borderId="72" xfId="0" applyFont="1" applyFill="1" applyBorder="1" applyAlignment="1">
      <alignment horizontal="center" vertical="center" wrapText="1"/>
    </xf>
    <xf numFmtId="0" fontId="71" fillId="43" borderId="71" xfId="0" applyFont="1" applyFill="1" applyBorder="1" applyAlignment="1">
      <alignment horizontal="right" vertical="center"/>
    </xf>
    <xf numFmtId="0" fontId="71" fillId="43" borderId="72" xfId="0" applyFont="1" applyFill="1" applyBorder="1" applyAlignment="1">
      <alignment horizontal="right" vertical="center"/>
    </xf>
    <xf numFmtId="0" fontId="71" fillId="43" borderId="73" xfId="0" applyFont="1" applyFill="1" applyBorder="1" applyAlignment="1">
      <alignment horizontal="right" vertical="center"/>
    </xf>
    <xf numFmtId="0" fontId="41" fillId="43" borderId="0" xfId="0" applyFont="1" applyFill="1" applyAlignment="1">
      <alignment horizontal="center"/>
    </xf>
    <xf numFmtId="0" fontId="41" fillId="43" borderId="0" xfId="0" applyFont="1" applyFill="1" applyAlignment="1">
      <alignment horizontal="right"/>
    </xf>
    <xf numFmtId="0" fontId="46" fillId="43" borderId="0" xfId="195" applyFont="1" applyFill="1" applyAlignment="1">
      <alignment horizontal="right" vertical="center"/>
    </xf>
    <xf numFmtId="0" fontId="50" fillId="43" borderId="49" xfId="0" applyFont="1" applyFill="1" applyBorder="1" applyAlignment="1">
      <alignment horizontal="right" vertical="center"/>
    </xf>
    <xf numFmtId="0" fontId="80" fillId="43" borderId="22" xfId="0" applyFont="1" applyFill="1" applyBorder="1" applyAlignment="1">
      <alignment horizontal="right" vertical="center" wrapText="1"/>
    </xf>
    <xf numFmtId="0" fontId="71" fillId="0" borderId="75" xfId="0" applyFont="1" applyFill="1" applyBorder="1" applyAlignment="1">
      <alignment horizontal="right" vertical="center" wrapText="1"/>
    </xf>
    <xf numFmtId="0" fontId="71" fillId="0" borderId="78" xfId="0" applyFont="1" applyFill="1" applyBorder="1" applyAlignment="1">
      <alignment horizontal="right" vertical="center" wrapText="1"/>
    </xf>
    <xf numFmtId="0" fontId="122" fillId="85" borderId="72" xfId="0" applyFont="1" applyFill="1" applyBorder="1" applyAlignment="1">
      <alignment vertical="center" wrapText="1"/>
    </xf>
    <xf numFmtId="0" fontId="41" fillId="21" borderId="28" xfId="0" quotePrefix="1" applyFont="1" applyFill="1" applyBorder="1" applyAlignment="1">
      <alignment horizontal="center" vertical="top"/>
    </xf>
    <xf numFmtId="194" fontId="41" fillId="42" borderId="0" xfId="0" applyNumberFormat="1" applyFont="1" applyFill="1" applyBorder="1" applyAlignment="1">
      <alignment horizontal="left"/>
    </xf>
    <xf numFmtId="171" fontId="41" fillId="42" borderId="0" xfId="0" applyNumberFormat="1" applyFont="1" applyFill="1" applyBorder="1"/>
    <xf numFmtId="192" fontId="41" fillId="42" borderId="34" xfId="0" applyNumberFormat="1" applyFont="1" applyFill="1" applyBorder="1" applyAlignment="1">
      <alignment horizontal="left" vertical="top"/>
    </xf>
    <xf numFmtId="192" fontId="41" fillId="42" borderId="0" xfId="0" applyNumberFormat="1" applyFont="1" applyFill="1" applyBorder="1" applyAlignment="1">
      <alignment horizontal="left" vertical="top"/>
    </xf>
    <xf numFmtId="192" fontId="41" fillId="42" borderId="44" xfId="0" applyNumberFormat="1" applyFont="1" applyFill="1" applyBorder="1" applyAlignment="1">
      <alignment horizontal="left" vertical="top"/>
    </xf>
    <xf numFmtId="192" fontId="41" fillId="42" borderId="45" xfId="0" applyNumberFormat="1" applyFont="1" applyFill="1" applyBorder="1" applyAlignment="1">
      <alignment horizontal="left" vertical="top"/>
    </xf>
    <xf numFmtId="192" fontId="41" fillId="0" borderId="34" xfId="0" applyNumberFormat="1" applyFont="1" applyFill="1" applyBorder="1" applyAlignment="1">
      <alignment horizontal="left" vertical="top"/>
    </xf>
    <xf numFmtId="192" fontId="41" fillId="42" borderId="46" xfId="0" applyNumberFormat="1" applyFont="1" applyFill="1" applyBorder="1" applyAlignment="1">
      <alignment horizontal="left" vertical="top"/>
    </xf>
    <xf numFmtId="192" fontId="41" fillId="0" borderId="0" xfId="0" applyNumberFormat="1" applyFont="1" applyFill="1" applyBorder="1" applyAlignment="1">
      <alignment horizontal="left" vertical="top"/>
    </xf>
    <xf numFmtId="9" fontId="41" fillId="24" borderId="32" xfId="0" applyNumberFormat="1" applyFont="1" applyFill="1" applyBorder="1"/>
    <xf numFmtId="164" fontId="41" fillId="42" borderId="47" xfId="0" applyNumberFormat="1" applyFont="1" applyFill="1" applyBorder="1"/>
    <xf numFmtId="199" fontId="41" fillId="42" borderId="0" xfId="0" applyNumberFormat="1" applyFont="1" applyFill="1" applyAlignment="1">
      <alignment horizontal="left"/>
    </xf>
    <xf numFmtId="200" fontId="41" fillId="43" borderId="0" xfId="0" applyNumberFormat="1" applyFont="1" applyFill="1"/>
    <xf numFmtId="0" fontId="41" fillId="43" borderId="0" xfId="0" applyNumberFormat="1" applyFont="1" applyFill="1"/>
    <xf numFmtId="0" fontId="41" fillId="21" borderId="44" xfId="0" applyFont="1" applyFill="1" applyBorder="1"/>
    <xf numFmtId="168" fontId="41" fillId="21" borderId="44" xfId="0" applyNumberFormat="1" applyFont="1" applyFill="1" applyBorder="1" applyAlignment="1">
      <alignment horizontal="left"/>
    </xf>
    <xf numFmtId="168" fontId="41" fillId="21" borderId="44" xfId="0" applyNumberFormat="1" applyFont="1" applyFill="1" applyBorder="1" applyAlignment="1"/>
    <xf numFmtId="168" fontId="41" fillId="21" borderId="0" xfId="0" applyNumberFormat="1" applyFont="1" applyFill="1" applyBorder="1" applyAlignment="1"/>
    <xf numFmtId="168" fontId="41" fillId="21" borderId="45" xfId="0" applyNumberFormat="1" applyFont="1" applyFill="1" applyBorder="1" applyAlignment="1">
      <alignment horizontal="left"/>
    </xf>
    <xf numFmtId="168" fontId="41" fillId="21" borderId="45" xfId="0" applyNumberFormat="1" applyFont="1" applyFill="1" applyBorder="1" applyAlignment="1"/>
    <xf numFmtId="201" fontId="41" fillId="42" borderId="44" xfId="0" applyNumberFormat="1" applyFont="1" applyFill="1" applyBorder="1" applyAlignment="1">
      <alignment horizontal="center"/>
    </xf>
    <xf numFmtId="0" fontId="41" fillId="21" borderId="0" xfId="0" applyFont="1" applyFill="1" applyAlignment="1">
      <alignment horizontal="left" vertical="top" wrapText="1"/>
    </xf>
    <xf numFmtId="0" fontId="44" fillId="42" borderId="0" xfId="0" applyFont="1" applyFill="1" applyBorder="1" applyAlignment="1">
      <alignment horizontal="center" vertical="top"/>
    </xf>
    <xf numFmtId="0" fontId="41" fillId="41" borderId="65" xfId="0" applyFont="1" applyFill="1" applyBorder="1" applyAlignment="1">
      <alignment horizontal="center"/>
    </xf>
    <xf numFmtId="0" fontId="41" fillId="41" borderId="0" xfId="0" applyFont="1" applyFill="1" applyBorder="1" applyAlignment="1">
      <alignment horizontal="center"/>
    </xf>
    <xf numFmtId="0" fontId="43" fillId="41" borderId="0" xfId="0" applyFont="1" applyFill="1" applyBorder="1" applyAlignment="1">
      <alignment horizontal="center" vertical="top"/>
    </xf>
    <xf numFmtId="0" fontId="43" fillId="41" borderId="0" xfId="0" applyFont="1" applyFill="1" applyBorder="1" applyAlignment="1">
      <alignment horizontal="center" vertical="top" wrapText="1"/>
    </xf>
    <xf numFmtId="0" fontId="43" fillId="41" borderId="22" xfId="0" applyFont="1" applyFill="1" applyBorder="1" applyAlignment="1">
      <alignment horizontal="center" vertical="top"/>
    </xf>
    <xf numFmtId="0" fontId="42" fillId="41" borderId="21" xfId="0" applyFont="1" applyFill="1" applyBorder="1" applyAlignment="1">
      <alignment horizontal="center"/>
    </xf>
    <xf numFmtId="0" fontId="42" fillId="41" borderId="0" xfId="0" applyFont="1" applyFill="1" applyBorder="1" applyAlignment="1">
      <alignment horizontal="center"/>
    </xf>
    <xf numFmtId="0" fontId="42" fillId="41" borderId="50" xfId="0" applyFont="1" applyFill="1" applyBorder="1" applyAlignment="1">
      <alignment horizontal="center"/>
    </xf>
    <xf numFmtId="0" fontId="42" fillId="24" borderId="0" xfId="0" applyFont="1" applyFill="1" applyAlignment="1">
      <alignment horizontal="left"/>
    </xf>
    <xf numFmtId="0" fontId="124" fillId="24" borderId="0" xfId="0" applyFont="1" applyFill="1" applyAlignment="1">
      <alignment horizontal="left"/>
    </xf>
    <xf numFmtId="0" fontId="124" fillId="87" borderId="0" xfId="0" applyFont="1" applyFill="1" applyAlignment="1">
      <alignment horizontal="center" vertical="center"/>
    </xf>
    <xf numFmtId="0" fontId="124" fillId="87" borderId="21" xfId="0" applyFont="1" applyFill="1" applyBorder="1" applyAlignment="1">
      <alignment horizontal="center" vertical="center"/>
    </xf>
    <xf numFmtId="0" fontId="124" fillId="87" borderId="0" xfId="0" applyFont="1" applyFill="1" applyBorder="1" applyAlignment="1">
      <alignment horizontal="center" vertical="center"/>
    </xf>
    <xf numFmtId="0" fontId="124" fillId="87" borderId="50" xfId="0" applyFont="1" applyFill="1" applyBorder="1" applyAlignment="1">
      <alignment horizontal="center" vertical="center"/>
    </xf>
    <xf numFmtId="0" fontId="79" fillId="43" borderId="0" xfId="195" applyFont="1" applyFill="1" applyAlignment="1">
      <alignment horizontal="left" vertical="top" wrapText="1"/>
    </xf>
    <xf numFmtId="0" fontId="124" fillId="87" borderId="87" xfId="199" applyFont="1" applyFill="1" applyBorder="1" applyAlignment="1">
      <alignment horizontal="center" vertical="center"/>
    </xf>
    <xf numFmtId="0" fontId="124" fillId="87" borderId="85" xfId="199" applyFont="1" applyFill="1" applyBorder="1" applyAlignment="1">
      <alignment horizontal="center" vertical="center"/>
    </xf>
    <xf numFmtId="0" fontId="124" fillId="87" borderId="88" xfId="199" applyFont="1" applyFill="1" applyBorder="1" applyAlignment="1">
      <alignment horizontal="center" vertical="center"/>
    </xf>
    <xf numFmtId="0" fontId="47" fillId="86" borderId="86" xfId="199" applyFont="1" applyFill="1" applyBorder="1" applyAlignment="1">
      <alignment horizontal="center"/>
    </xf>
    <xf numFmtId="0" fontId="47" fillId="86" borderId="22" xfId="199" applyFont="1" applyFill="1" applyBorder="1" applyAlignment="1">
      <alignment horizontal="center"/>
    </xf>
    <xf numFmtId="0" fontId="47" fillId="86" borderId="51" xfId="199" applyFont="1" applyFill="1" applyBorder="1" applyAlignment="1">
      <alignment horizontal="center"/>
    </xf>
  </cellXfs>
  <cellStyles count="200">
    <cellStyle name="blassgelb" xfId="1" xr:uid="{00000000-0005-0000-0000-000000000000}"/>
    <cellStyle name="blassgelb 1" xfId="2" xr:uid="{00000000-0005-0000-0000-000001000000}"/>
    <cellStyle name="blassgelb 10" xfId="3" xr:uid="{00000000-0005-0000-0000-000002000000}"/>
    <cellStyle name="blassgelb 2" xfId="4" xr:uid="{00000000-0005-0000-0000-000003000000}"/>
    <cellStyle name="blassgelb 3" xfId="5" xr:uid="{00000000-0005-0000-0000-000004000000}"/>
    <cellStyle name="blassgelb 4" xfId="6" xr:uid="{00000000-0005-0000-0000-000005000000}"/>
    <cellStyle name="blassgelb 5" xfId="7" xr:uid="{00000000-0005-0000-0000-000006000000}"/>
    <cellStyle name="blassgelb 6" xfId="8" xr:uid="{00000000-0005-0000-0000-000007000000}"/>
    <cellStyle name="blassgelb 7" xfId="9" xr:uid="{00000000-0005-0000-0000-000008000000}"/>
    <cellStyle name="blassgelb 8" xfId="10" xr:uid="{00000000-0005-0000-0000-000009000000}"/>
    <cellStyle name="blassgelb 9" xfId="11" xr:uid="{00000000-0005-0000-0000-00000A000000}"/>
    <cellStyle name="blassgelbschrift" xfId="12" xr:uid="{00000000-0005-0000-0000-00000B000000}"/>
    <cellStyle name="blaugrauschrift" xfId="13" xr:uid="{00000000-0005-0000-0000-00000C000000}"/>
    <cellStyle name="Gabe1" xfId="14" xr:uid="{00000000-0005-0000-0000-00000D000000}"/>
    <cellStyle name="Gabe2" xfId="15" xr:uid="{00000000-0005-0000-0000-00000E000000}"/>
    <cellStyle name="Gabe2Schwarz" xfId="16" xr:uid="{00000000-0005-0000-0000-00000F000000}"/>
    <cellStyle name="Gabe3" xfId="17" xr:uid="{00000000-0005-0000-0000-000010000000}"/>
    <cellStyle name="Gabe3Schwarz" xfId="18" xr:uid="{00000000-0005-0000-0000-000011000000}"/>
    <cellStyle name="Gelb2" xfId="19" xr:uid="{00000000-0005-0000-0000-000012000000}"/>
    <cellStyle name="Gelb2 1" xfId="20" xr:uid="{00000000-0005-0000-0000-000013000000}"/>
    <cellStyle name="Gelb2 10" xfId="21" xr:uid="{00000000-0005-0000-0000-000014000000}"/>
    <cellStyle name="Gelb2 2" xfId="22" xr:uid="{00000000-0005-0000-0000-000015000000}"/>
    <cellStyle name="Gelb2 3" xfId="23" xr:uid="{00000000-0005-0000-0000-000016000000}"/>
    <cellStyle name="Gelb2 4" xfId="24" xr:uid="{00000000-0005-0000-0000-000017000000}"/>
    <cellStyle name="Gelb2 5" xfId="25" xr:uid="{00000000-0005-0000-0000-000018000000}"/>
    <cellStyle name="Gelb2 6" xfId="26" xr:uid="{00000000-0005-0000-0000-000019000000}"/>
    <cellStyle name="Gelb2 7" xfId="27" xr:uid="{00000000-0005-0000-0000-00001A000000}"/>
    <cellStyle name="Gelb2 8" xfId="28" xr:uid="{00000000-0005-0000-0000-00001B000000}"/>
    <cellStyle name="Gelb2 9" xfId="29" xr:uid="{00000000-0005-0000-0000-00001C000000}"/>
    <cellStyle name="grau10schrift" xfId="30" xr:uid="{00000000-0005-0000-0000-00001D000000}"/>
    <cellStyle name="grau20" xfId="31" xr:uid="{00000000-0005-0000-0000-00001E000000}"/>
    <cellStyle name="grau20 1" xfId="32" xr:uid="{00000000-0005-0000-0000-00001F000000}"/>
    <cellStyle name="grau20 10" xfId="33" xr:uid="{00000000-0005-0000-0000-000020000000}"/>
    <cellStyle name="grau20 2" xfId="34" xr:uid="{00000000-0005-0000-0000-000021000000}"/>
    <cellStyle name="grau20 3" xfId="35" xr:uid="{00000000-0005-0000-0000-000022000000}"/>
    <cellStyle name="grau20 4" xfId="36" xr:uid="{00000000-0005-0000-0000-000023000000}"/>
    <cellStyle name="grau20 5" xfId="37" xr:uid="{00000000-0005-0000-0000-000024000000}"/>
    <cellStyle name="grau20 6" xfId="38" xr:uid="{00000000-0005-0000-0000-000025000000}"/>
    <cellStyle name="grau20 7" xfId="39" xr:uid="{00000000-0005-0000-0000-000026000000}"/>
    <cellStyle name="grau20 8" xfId="40" xr:uid="{00000000-0005-0000-0000-000027000000}"/>
    <cellStyle name="grau20 9" xfId="41" xr:uid="{00000000-0005-0000-0000-000028000000}"/>
    <cellStyle name="grün3" xfId="42" xr:uid="{00000000-0005-0000-0000-000029000000}"/>
    <cellStyle name="grün3 1" xfId="43" xr:uid="{00000000-0005-0000-0000-00002A000000}"/>
    <cellStyle name="grün3 10" xfId="44" xr:uid="{00000000-0005-0000-0000-00002B000000}"/>
    <cellStyle name="grün3 2" xfId="45" xr:uid="{00000000-0005-0000-0000-00002C000000}"/>
    <cellStyle name="grün3 3" xfId="46" xr:uid="{00000000-0005-0000-0000-00002D000000}"/>
    <cellStyle name="grün3 4" xfId="47" xr:uid="{00000000-0005-0000-0000-00002E000000}"/>
    <cellStyle name="grün3 5" xfId="48" xr:uid="{00000000-0005-0000-0000-00002F000000}"/>
    <cellStyle name="grün3 6" xfId="49" xr:uid="{00000000-0005-0000-0000-000030000000}"/>
    <cellStyle name="grün3 7" xfId="50" xr:uid="{00000000-0005-0000-0000-000031000000}"/>
    <cellStyle name="grün3 8" xfId="51" xr:uid="{00000000-0005-0000-0000-000032000000}"/>
    <cellStyle name="grün3 9" xfId="52" xr:uid="{00000000-0005-0000-0000-000033000000}"/>
    <cellStyle name="hellblau" xfId="53" xr:uid="{00000000-0005-0000-0000-000034000000}"/>
    <cellStyle name="hellblau 1" xfId="54" xr:uid="{00000000-0005-0000-0000-000035000000}"/>
    <cellStyle name="hellblau 10" xfId="55" xr:uid="{00000000-0005-0000-0000-000036000000}"/>
    <cellStyle name="hellblau 2" xfId="56" xr:uid="{00000000-0005-0000-0000-000037000000}"/>
    <cellStyle name="hellblau 3" xfId="57" xr:uid="{00000000-0005-0000-0000-000038000000}"/>
    <cellStyle name="hellblau 4" xfId="58" xr:uid="{00000000-0005-0000-0000-000039000000}"/>
    <cellStyle name="hellblau 5" xfId="59" xr:uid="{00000000-0005-0000-0000-00003A000000}"/>
    <cellStyle name="hellblau 6" xfId="60" xr:uid="{00000000-0005-0000-0000-00003B000000}"/>
    <cellStyle name="hellblau 7" xfId="61" xr:uid="{00000000-0005-0000-0000-00003C000000}"/>
    <cellStyle name="hellblau 8" xfId="62" xr:uid="{00000000-0005-0000-0000-00003D000000}"/>
    <cellStyle name="hellblau 9" xfId="63" xr:uid="{00000000-0005-0000-0000-00003E000000}"/>
    <cellStyle name="hellorangeschrift" xfId="64" xr:uid="{00000000-0005-0000-0000-00003F000000}"/>
    <cellStyle name="Hellrot" xfId="65" xr:uid="{00000000-0005-0000-0000-000040000000}"/>
    <cellStyle name="Hellrot 1" xfId="66" xr:uid="{00000000-0005-0000-0000-000041000000}"/>
    <cellStyle name="Hellrot 10" xfId="67" xr:uid="{00000000-0005-0000-0000-000042000000}"/>
    <cellStyle name="Hellrot 2" xfId="68" xr:uid="{00000000-0005-0000-0000-000043000000}"/>
    <cellStyle name="Hellrot 3" xfId="69" xr:uid="{00000000-0005-0000-0000-000044000000}"/>
    <cellStyle name="Hellrot 4" xfId="70" xr:uid="{00000000-0005-0000-0000-000045000000}"/>
    <cellStyle name="Hellrot 5" xfId="71" xr:uid="{00000000-0005-0000-0000-000046000000}"/>
    <cellStyle name="Hellrot 6" xfId="72" xr:uid="{00000000-0005-0000-0000-000047000000}"/>
    <cellStyle name="Hellrot 7" xfId="73" xr:uid="{00000000-0005-0000-0000-000048000000}"/>
    <cellStyle name="Hellrot 8" xfId="74" xr:uid="{00000000-0005-0000-0000-000049000000}"/>
    <cellStyle name="Hellrot 9" xfId="75" xr:uid="{00000000-0005-0000-0000-00004A000000}"/>
    <cellStyle name="Hellrotaufgrau" xfId="76" xr:uid="{00000000-0005-0000-0000-00004B000000}"/>
    <cellStyle name="Hellrotschrift" xfId="77" xr:uid="{00000000-0005-0000-0000-00004C000000}"/>
    <cellStyle name="hintergrundblau" xfId="78" xr:uid="{00000000-0005-0000-0000-00004D000000}"/>
    <cellStyle name="hintergrundblau 1" xfId="79" xr:uid="{00000000-0005-0000-0000-00004E000000}"/>
    <cellStyle name="hintergrundblau 10" xfId="80" xr:uid="{00000000-0005-0000-0000-00004F000000}"/>
    <cellStyle name="hintergrundblau 2" xfId="81" xr:uid="{00000000-0005-0000-0000-000050000000}"/>
    <cellStyle name="hintergrundblau 3" xfId="82" xr:uid="{00000000-0005-0000-0000-000051000000}"/>
    <cellStyle name="hintergrundblau 4" xfId="83" xr:uid="{00000000-0005-0000-0000-000052000000}"/>
    <cellStyle name="hintergrundblau 5" xfId="84" xr:uid="{00000000-0005-0000-0000-000053000000}"/>
    <cellStyle name="hintergrundblau 6" xfId="85" xr:uid="{00000000-0005-0000-0000-000054000000}"/>
    <cellStyle name="hintergrundblau 7" xfId="86" xr:uid="{00000000-0005-0000-0000-000055000000}"/>
    <cellStyle name="hintergrundblau 8" xfId="87" xr:uid="{00000000-0005-0000-0000-000056000000}"/>
    <cellStyle name="hintergrundblau 9" xfId="88" xr:uid="{00000000-0005-0000-0000-000057000000}"/>
    <cellStyle name="Link" xfId="198" builtinId="8"/>
    <cellStyle name="Orange neu 02" xfId="89" xr:uid="{00000000-0005-0000-0000-000059000000}"/>
    <cellStyle name="Orange neu 02 1" xfId="90" xr:uid="{00000000-0005-0000-0000-00005A000000}"/>
    <cellStyle name="Orange neu 02 10" xfId="91" xr:uid="{00000000-0005-0000-0000-00005B000000}"/>
    <cellStyle name="Orange neu 02 2" xfId="92" xr:uid="{00000000-0005-0000-0000-00005C000000}"/>
    <cellStyle name="Orange neu 02 3" xfId="93" xr:uid="{00000000-0005-0000-0000-00005D000000}"/>
    <cellStyle name="Orange neu 02 4" xfId="94" xr:uid="{00000000-0005-0000-0000-00005E000000}"/>
    <cellStyle name="Orange neu 02 5" xfId="95" xr:uid="{00000000-0005-0000-0000-00005F000000}"/>
    <cellStyle name="Orange neu 02 6" xfId="96" xr:uid="{00000000-0005-0000-0000-000060000000}"/>
    <cellStyle name="Orange neu 02 7" xfId="97" xr:uid="{00000000-0005-0000-0000-000061000000}"/>
    <cellStyle name="Orange neu 02 8" xfId="98" xr:uid="{00000000-0005-0000-0000-000062000000}"/>
    <cellStyle name="Orange neu 02 9" xfId="99" xr:uid="{00000000-0005-0000-0000-000063000000}"/>
    <cellStyle name="orange neu 2" xfId="100" xr:uid="{00000000-0005-0000-0000-000064000000}"/>
    <cellStyle name="orange neu 2 1" xfId="101" xr:uid="{00000000-0005-0000-0000-000065000000}"/>
    <cellStyle name="orange neu 2 10" xfId="102" xr:uid="{00000000-0005-0000-0000-000066000000}"/>
    <cellStyle name="orange neu 2 2" xfId="103" xr:uid="{00000000-0005-0000-0000-000067000000}"/>
    <cellStyle name="orange neu 2 3" xfId="104" xr:uid="{00000000-0005-0000-0000-000068000000}"/>
    <cellStyle name="orange neu 2 4" xfId="105" xr:uid="{00000000-0005-0000-0000-000069000000}"/>
    <cellStyle name="orange neu 2 5" xfId="106" xr:uid="{00000000-0005-0000-0000-00006A000000}"/>
    <cellStyle name="orange neu 2 6" xfId="107" xr:uid="{00000000-0005-0000-0000-00006B000000}"/>
    <cellStyle name="orange neu 2 7" xfId="108" xr:uid="{00000000-0005-0000-0000-00006C000000}"/>
    <cellStyle name="orange neu 2 8" xfId="109" xr:uid="{00000000-0005-0000-0000-00006D000000}"/>
    <cellStyle name="orange neu 2 9" xfId="110" xr:uid="{00000000-0005-0000-0000-00006E000000}"/>
    <cellStyle name="orange neu 2_neu160ex" xfId="111" xr:uid="{00000000-0005-0000-0000-00006F000000}"/>
    <cellStyle name="Orange2" xfId="112" xr:uid="{00000000-0005-0000-0000-000070000000}"/>
    <cellStyle name="Orange2 1" xfId="113" xr:uid="{00000000-0005-0000-0000-000071000000}"/>
    <cellStyle name="Orange2 10" xfId="114" xr:uid="{00000000-0005-0000-0000-000072000000}"/>
    <cellStyle name="Orange2 2" xfId="115" xr:uid="{00000000-0005-0000-0000-000073000000}"/>
    <cellStyle name="Orange2 3" xfId="116" xr:uid="{00000000-0005-0000-0000-000074000000}"/>
    <cellStyle name="Orange2 4" xfId="117" xr:uid="{00000000-0005-0000-0000-000075000000}"/>
    <cellStyle name="Orange2 5" xfId="118" xr:uid="{00000000-0005-0000-0000-000076000000}"/>
    <cellStyle name="Orange2 6" xfId="119" xr:uid="{00000000-0005-0000-0000-000077000000}"/>
    <cellStyle name="Orange2 7" xfId="120" xr:uid="{00000000-0005-0000-0000-000078000000}"/>
    <cellStyle name="Orange2 8" xfId="121" xr:uid="{00000000-0005-0000-0000-000079000000}"/>
    <cellStyle name="Orange2 9" xfId="122" xr:uid="{00000000-0005-0000-0000-00007A000000}"/>
    <cellStyle name="Orange3" xfId="123" xr:uid="{00000000-0005-0000-0000-00007B000000}"/>
    <cellStyle name="Orange3 1" xfId="124" xr:uid="{00000000-0005-0000-0000-00007C000000}"/>
    <cellStyle name="Orange3 10" xfId="125" xr:uid="{00000000-0005-0000-0000-00007D000000}"/>
    <cellStyle name="Orange3 2" xfId="126" xr:uid="{00000000-0005-0000-0000-00007E000000}"/>
    <cellStyle name="Orange3 3" xfId="127" xr:uid="{00000000-0005-0000-0000-00007F000000}"/>
    <cellStyle name="Orange3 4" xfId="128" xr:uid="{00000000-0005-0000-0000-000080000000}"/>
    <cellStyle name="Orange3 5" xfId="129" xr:uid="{00000000-0005-0000-0000-000081000000}"/>
    <cellStyle name="Orange3 6" xfId="130" xr:uid="{00000000-0005-0000-0000-000082000000}"/>
    <cellStyle name="Orange3 7" xfId="131" xr:uid="{00000000-0005-0000-0000-000083000000}"/>
    <cellStyle name="Orange3 8" xfId="132" xr:uid="{00000000-0005-0000-0000-000084000000}"/>
    <cellStyle name="Orange3 9" xfId="133" xr:uid="{00000000-0005-0000-0000-000085000000}"/>
    <cellStyle name="orange4" xfId="134" xr:uid="{00000000-0005-0000-0000-000086000000}"/>
    <cellStyle name="orange4 1" xfId="135" xr:uid="{00000000-0005-0000-0000-000087000000}"/>
    <cellStyle name="orange4 10" xfId="136" xr:uid="{00000000-0005-0000-0000-000088000000}"/>
    <cellStyle name="orange4 2" xfId="137" xr:uid="{00000000-0005-0000-0000-000089000000}"/>
    <cellStyle name="orange4 3" xfId="138" xr:uid="{00000000-0005-0000-0000-00008A000000}"/>
    <cellStyle name="orange4 4" xfId="139" xr:uid="{00000000-0005-0000-0000-00008B000000}"/>
    <cellStyle name="orange4 5" xfId="140" xr:uid="{00000000-0005-0000-0000-00008C000000}"/>
    <cellStyle name="orange4 6" xfId="141" xr:uid="{00000000-0005-0000-0000-00008D000000}"/>
    <cellStyle name="orange4 7" xfId="142" xr:uid="{00000000-0005-0000-0000-00008E000000}"/>
    <cellStyle name="orange4 8" xfId="143" xr:uid="{00000000-0005-0000-0000-00008F000000}"/>
    <cellStyle name="orange4 9" xfId="144" xr:uid="{00000000-0005-0000-0000-000090000000}"/>
    <cellStyle name="Rotschrift" xfId="145" xr:uid="{00000000-0005-0000-0000-000091000000}"/>
    <cellStyle name="Rotschrift 1" xfId="146" xr:uid="{00000000-0005-0000-0000-000092000000}"/>
    <cellStyle name="Rotschrift 10" xfId="147" xr:uid="{00000000-0005-0000-0000-000093000000}"/>
    <cellStyle name="Rotschrift 2" xfId="148" xr:uid="{00000000-0005-0000-0000-000094000000}"/>
    <cellStyle name="Rotschrift 3" xfId="149" xr:uid="{00000000-0005-0000-0000-000095000000}"/>
    <cellStyle name="Rotschrift 4" xfId="150" xr:uid="{00000000-0005-0000-0000-000096000000}"/>
    <cellStyle name="Rotschrift 5" xfId="151" xr:uid="{00000000-0005-0000-0000-000097000000}"/>
    <cellStyle name="Rotschrift 6" xfId="152" xr:uid="{00000000-0005-0000-0000-000098000000}"/>
    <cellStyle name="Rotschrift 7" xfId="153" xr:uid="{00000000-0005-0000-0000-000099000000}"/>
    <cellStyle name="Rotschrift 8" xfId="154" xr:uid="{00000000-0005-0000-0000-00009A000000}"/>
    <cellStyle name="Rotschrift 9" xfId="155" xr:uid="{00000000-0005-0000-0000-00009B000000}"/>
    <cellStyle name="Rotschriftgrau" xfId="156" xr:uid="{00000000-0005-0000-0000-00009C000000}"/>
    <cellStyle name="Rotzeichen" xfId="157" xr:uid="{00000000-0005-0000-0000-00009D000000}"/>
    <cellStyle name="Rotzeichen 1" xfId="158" xr:uid="{00000000-0005-0000-0000-00009E000000}"/>
    <cellStyle name="Rotzeichen 10" xfId="159" xr:uid="{00000000-0005-0000-0000-00009F000000}"/>
    <cellStyle name="Rotzeichen 2" xfId="160" xr:uid="{00000000-0005-0000-0000-0000A0000000}"/>
    <cellStyle name="Rotzeichen 3" xfId="161" xr:uid="{00000000-0005-0000-0000-0000A1000000}"/>
    <cellStyle name="Rotzeichen 4" xfId="162" xr:uid="{00000000-0005-0000-0000-0000A2000000}"/>
    <cellStyle name="Rotzeichen 5" xfId="163" xr:uid="{00000000-0005-0000-0000-0000A3000000}"/>
    <cellStyle name="Rotzeichen 6" xfId="164" xr:uid="{00000000-0005-0000-0000-0000A4000000}"/>
    <cellStyle name="Rotzeichen 7" xfId="165" xr:uid="{00000000-0005-0000-0000-0000A5000000}"/>
    <cellStyle name="Rotzeichen 8" xfId="166" xr:uid="{00000000-0005-0000-0000-0000A6000000}"/>
    <cellStyle name="Rotzeichen 9" xfId="167" xr:uid="{00000000-0005-0000-0000-0000A7000000}"/>
    <cellStyle name="Schüttfehler" xfId="168" xr:uid="{00000000-0005-0000-0000-0000A8000000}"/>
    <cellStyle name="Schwarzaufrot" xfId="169" xr:uid="{00000000-0005-0000-0000-0000A9000000}"/>
    <cellStyle name="Schwarzschrift" xfId="170" xr:uid="{00000000-0005-0000-0000-0000AA000000}"/>
    <cellStyle name="Schwarzschriftkasten" xfId="171" xr:uid="{00000000-0005-0000-0000-0000AB000000}"/>
    <cellStyle name="Standard" xfId="0" builtinId="0"/>
    <cellStyle name="Standard 2" xfId="195" xr:uid="{00000000-0005-0000-0000-0000AD000000}"/>
    <cellStyle name="Standard 3" xfId="196" xr:uid="{00000000-0005-0000-0000-0000AE000000}"/>
    <cellStyle name="Standard 4" xfId="197" xr:uid="{00000000-0005-0000-0000-0000AF000000}"/>
    <cellStyle name="Standard 5" xfId="199" xr:uid="{00000000-0005-0000-0000-0000B0000000}"/>
    <cellStyle name="Unbenannt1" xfId="172" xr:uid="{00000000-0005-0000-0000-0000B1000000}"/>
    <cellStyle name="Unbenannt1 1" xfId="173" xr:uid="{00000000-0005-0000-0000-0000B2000000}"/>
    <cellStyle name="Unbenannt1 10" xfId="174" xr:uid="{00000000-0005-0000-0000-0000B3000000}"/>
    <cellStyle name="Unbenannt1 2" xfId="175" xr:uid="{00000000-0005-0000-0000-0000B4000000}"/>
    <cellStyle name="Unbenannt1 3" xfId="176" xr:uid="{00000000-0005-0000-0000-0000B5000000}"/>
    <cellStyle name="Unbenannt1 4" xfId="177" xr:uid="{00000000-0005-0000-0000-0000B6000000}"/>
    <cellStyle name="Unbenannt1 5" xfId="178" xr:uid="{00000000-0005-0000-0000-0000B7000000}"/>
    <cellStyle name="Unbenannt1 6" xfId="179" xr:uid="{00000000-0005-0000-0000-0000B8000000}"/>
    <cellStyle name="Unbenannt1 7" xfId="180" xr:uid="{00000000-0005-0000-0000-0000B9000000}"/>
    <cellStyle name="Unbenannt1 8" xfId="181" xr:uid="{00000000-0005-0000-0000-0000BA000000}"/>
    <cellStyle name="Unbenannt1 9" xfId="182" xr:uid="{00000000-0005-0000-0000-0000BB000000}"/>
    <cellStyle name="Unbenannt2" xfId="183" xr:uid="{00000000-0005-0000-0000-0000BC000000}"/>
    <cellStyle name="Unbenannt2 1" xfId="184" xr:uid="{00000000-0005-0000-0000-0000BD000000}"/>
    <cellStyle name="Unbenannt2 10" xfId="185" xr:uid="{00000000-0005-0000-0000-0000BE000000}"/>
    <cellStyle name="Unbenannt2 2" xfId="186" xr:uid="{00000000-0005-0000-0000-0000BF000000}"/>
    <cellStyle name="Unbenannt2 3" xfId="187" xr:uid="{00000000-0005-0000-0000-0000C0000000}"/>
    <cellStyle name="Unbenannt2 4" xfId="188" xr:uid="{00000000-0005-0000-0000-0000C1000000}"/>
    <cellStyle name="Unbenannt2 5" xfId="189" xr:uid="{00000000-0005-0000-0000-0000C2000000}"/>
    <cellStyle name="Unbenannt2 6" xfId="190" xr:uid="{00000000-0005-0000-0000-0000C3000000}"/>
    <cellStyle name="Unbenannt2 7" xfId="191" xr:uid="{00000000-0005-0000-0000-0000C4000000}"/>
    <cellStyle name="Unbenannt2 8" xfId="192" xr:uid="{00000000-0005-0000-0000-0000C5000000}"/>
    <cellStyle name="Unbenannt2 9" xfId="193" xr:uid="{00000000-0005-0000-0000-0000C6000000}"/>
    <cellStyle name="weisschrift" xfId="194" xr:uid="{00000000-0005-0000-0000-0000C7000000}"/>
  </cellStyles>
  <dxfs count="0"/>
  <tableStyles count="0" defaultTableStyle="TableStyleMedium9" defaultPivotStyle="PivotStyleLight16"/>
  <colors>
    <mruColors>
      <color rgb="FFFFFF99"/>
      <color rgb="FFFEF5CE"/>
      <color rgb="FFFFFFCC"/>
      <color rgb="FFFFCC66"/>
      <color rgb="FFFDE555"/>
      <color rgb="FFFFFFFF"/>
      <color rgb="FFCCECFF"/>
      <color rgb="FFCC9900"/>
      <color rgb="FFCCFFCC"/>
      <color rgb="FFFEA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Biersorten!$N$5" fmlaRange="Biersorten!$C$5:$C$79" noThreeD="1" sel="1" val="0"/>
</file>

<file path=xl/ctrlProps/ctrlProp10.xml><?xml version="1.0" encoding="utf-8"?>
<formControlPr xmlns="http://schemas.microsoft.com/office/spreadsheetml/2009/9/main" objectType="Drop" dropStyle="combo" dx="16" fmlaLink="Malze!$H$42" fmlaRange="Malze!$A$42:$A$56" noThreeD="1" sel="1" val="0"/>
</file>

<file path=xl/ctrlProps/ctrlProp11.xml><?xml version="1.0" encoding="utf-8"?>
<formControlPr xmlns="http://schemas.microsoft.com/office/spreadsheetml/2009/9/main" objectType="Drop" dropStyle="combo" dx="16" fmlaLink="Malze!$H$43" fmlaRange="Malze!$A$42:$A$56" noThreeD="1" sel="1" val="0"/>
</file>

<file path=xl/ctrlProps/ctrlProp12.xml><?xml version="1.0" encoding="utf-8"?>
<formControlPr xmlns="http://schemas.microsoft.com/office/spreadsheetml/2009/9/main" objectType="Drop" dropStyle="combo" dx="16" fmlaLink="Malze!$H$27" fmlaRange="Malze!$A$27:$A$40" noThreeD="1" sel="1" val="0"/>
</file>

<file path=xl/ctrlProps/ctrlProp13.xml><?xml version="1.0" encoding="utf-8"?>
<formControlPr xmlns="http://schemas.microsoft.com/office/spreadsheetml/2009/9/main" objectType="Drop" dropStyle="combo" dx="16" fmlaLink="Malze!$H$28" fmlaRange="Malze!$A$27:$A$40" noThreeD="1" sel="1" val="0"/>
</file>

<file path=xl/ctrlProps/ctrlProp14.xml><?xml version="1.0" encoding="utf-8"?>
<formControlPr xmlns="http://schemas.microsoft.com/office/spreadsheetml/2009/9/main" objectType="Drop" dropStyle="combo" dx="16" fmlaLink="Hopfen!$G$7" fmlaRange="Hopfen!$A$7:$A$116" noThreeD="1" sel="1" val="0"/>
</file>

<file path=xl/ctrlProps/ctrlProp15.xml><?xml version="1.0" encoding="utf-8"?>
<formControlPr xmlns="http://schemas.microsoft.com/office/spreadsheetml/2009/9/main" objectType="Drop" dropStyle="combo" dx="16" fmlaLink="Hopfen!$G$78" fmlaRange="Hopfen!$A$7:$A$116" noThreeD="1" sel="1" val="0"/>
</file>

<file path=xl/ctrlProps/ctrlProp16.xml><?xml version="1.0" encoding="utf-8"?>
<formControlPr xmlns="http://schemas.microsoft.com/office/spreadsheetml/2009/9/main" objectType="Drop" dropStyle="combo" dx="16" fmlaLink="Hopfen!$G$79" fmlaRange="Hopfen!$A$7:$A$116" noThreeD="1" sel="1" val="0"/>
</file>

<file path=xl/ctrlProps/ctrlProp17.xml><?xml version="1.0" encoding="utf-8"?>
<formControlPr xmlns="http://schemas.microsoft.com/office/spreadsheetml/2009/9/main" objectType="Drop" dropStyle="combo" dx="16" fmlaLink="Hopfen!$G$80" fmlaRange="Hopfen!$A$7:$A$116" noThreeD="1" sel="1" val="0"/>
</file>

<file path=xl/ctrlProps/ctrlProp18.xml><?xml version="1.0" encoding="utf-8"?>
<formControlPr xmlns="http://schemas.microsoft.com/office/spreadsheetml/2009/9/main" objectType="Drop" dropStyle="combo" dx="16" fmlaLink="Hopfen!$G$8" fmlaRange="Hopfen!$A$7:$A$116" noThreeD="1" sel="1" val="0"/>
</file>

<file path=xl/ctrlProps/ctrlProp19.xml><?xml version="1.0" encoding="utf-8"?>
<formControlPr xmlns="http://schemas.microsoft.com/office/spreadsheetml/2009/9/main" objectType="Drop" dropStyle="combo" dx="16" fmlaLink="Hopfen!$G$81" fmlaRange="Hopfen!$A$7:$A$116" noThreeD="1" sel="1" val="0"/>
</file>

<file path=xl/ctrlProps/ctrlProp2.xml><?xml version="1.0" encoding="utf-8"?>
<formControlPr xmlns="http://schemas.microsoft.com/office/spreadsheetml/2009/9/main" objectType="Drop" dropStyle="combo" dx="16" fmlaLink="Malze!$H$8" fmlaRange="Malze!$A$8:$A$25" noThreeD="1" sel="1" val="0"/>
</file>

<file path=xl/ctrlProps/ctrlProp20.xml><?xml version="1.0" encoding="utf-8"?>
<formControlPr xmlns="http://schemas.microsoft.com/office/spreadsheetml/2009/9/main" objectType="Drop" dropStyle="combo" dx="16" fmlaLink="Hefe!$O$6" fmlaRange="Hefe!$A$6:$A$53" noThreeD="1" sel="1" val="32"/>
</file>

<file path=xl/ctrlProps/ctrlProp21.xml><?xml version="1.0" encoding="utf-8"?>
<formControlPr xmlns="http://schemas.microsoft.com/office/spreadsheetml/2009/9/main" objectType="Drop" dropStyle="combo" dx="16" fmlaLink="Brauzusätze!$I$14" fmlaRange="Brauzusätze!$A$15:$A$17" noThreeD="1" sel="1" val="0"/>
</file>

<file path=xl/ctrlProps/ctrlProp22.xml><?xml version="1.0" encoding="utf-8"?>
<formControlPr xmlns="http://schemas.microsoft.com/office/spreadsheetml/2009/9/main" objectType="Drop" dropStyle="combo" dx="16" fmlaLink="Brauzusätze!$I$18" fmlaRange="Brauzusätze!$A$18:$A$27" noThreeD="1" sel="1" val="0"/>
</file>

<file path=xl/ctrlProps/ctrlProp23.xml><?xml version="1.0" encoding="utf-8"?>
<formControlPr xmlns="http://schemas.microsoft.com/office/spreadsheetml/2009/9/main" objectType="Drop" dropStyle="combo" dx="16" fmlaLink="Brauzusätze!$I$29" fmlaRange="Brauzusätze!$A$29:$A$43" noThreeD="1" sel="1" val="0"/>
</file>

<file path=xl/ctrlProps/ctrlProp24.xml><?xml version="1.0" encoding="utf-8"?>
<formControlPr xmlns="http://schemas.microsoft.com/office/spreadsheetml/2009/9/main" objectType="Drop" dropStyle="combo" dx="16" fmlaLink="Brauzusätze!$I$45" fmlaRange="Brauzusätze!$A$45:$A$47" noThreeD="1" sel="1" val="0"/>
</file>

<file path=xl/ctrlProps/ctrlProp25.xml><?xml version="1.0" encoding="utf-8"?>
<formControlPr xmlns="http://schemas.microsoft.com/office/spreadsheetml/2009/9/main" objectType="Drop" dropLines="2" dropStyle="combo" dx="16" fmlaLink="Malze!$D$58" fmlaRange="Malze!$E$58:$E$59" noThreeD="1" sel="1" val="0"/>
</file>

<file path=xl/ctrlProps/ctrlProp26.xml><?xml version="1.0" encoding="utf-8"?>
<formControlPr xmlns="http://schemas.microsoft.com/office/spreadsheetml/2009/9/main" objectType="Drop" dropLines="2" dropStyle="combo" dx="16" fmlaLink="Malze!$D$59" fmlaRange="Malze!$E$58:$E$59" noThreeD="1" sel="1" val="0"/>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Drop" dropStyle="combo" dx="16" fmlaLink="Tabellen!$I$113" fmlaRange="Tabellen!$G$113:$G$135" noThreeD="1" sel="23" val="15"/>
</file>

<file path=xl/ctrlProps/ctrlProp3.xml><?xml version="1.0" encoding="utf-8"?>
<formControlPr xmlns="http://schemas.microsoft.com/office/spreadsheetml/2009/9/main" objectType="Drop" dropStyle="combo" dx="16" fmlaLink="Malze!$H$9" fmlaRange="Malze!$A$8:$A$25" noThreeD="1" sel="1" val="0"/>
</file>

<file path=xl/ctrlProps/ctrlProp4.xml><?xml version="1.0" encoding="utf-8"?>
<formControlPr xmlns="http://schemas.microsoft.com/office/spreadsheetml/2009/9/main" objectType="Drop" dropStyle="combo" dx="16" fmlaLink="Malze!$H$10" fmlaRange="Malze!$A$8:$A$25" noThreeD="1" sel="1" val="0"/>
</file>

<file path=xl/ctrlProps/ctrlProp5.xml><?xml version="1.0" encoding="utf-8"?>
<formControlPr xmlns="http://schemas.microsoft.com/office/spreadsheetml/2009/9/main" objectType="Drop" dropStyle="combo" dx="16" fmlaLink="Malze!$H$11" fmlaRange="Malze!$A$8:$A$25" noThreeD="1" sel="1" val="0"/>
</file>

<file path=xl/ctrlProps/ctrlProp6.xml><?xml version="1.0" encoding="utf-8"?>
<formControlPr xmlns="http://schemas.microsoft.com/office/spreadsheetml/2009/9/main" objectType="Drop" dropStyle="combo" dx="16" fmlaLink="Malze!$H$12" fmlaRange="Malze!$A$8:$A$25" noThreeD="1" sel="1" val="0"/>
</file>

<file path=xl/ctrlProps/ctrlProp7.xml><?xml version="1.0" encoding="utf-8"?>
<formControlPr xmlns="http://schemas.microsoft.com/office/spreadsheetml/2009/9/main" objectType="Drop" dropStyle="combo" dx="16" fmlaLink="Malze!$H$59" fmlaRange="Malze!$A$59:$A$69" noThreeD="1" sel="1" val="0"/>
</file>

<file path=xl/ctrlProps/ctrlProp8.xml><?xml version="1.0" encoding="utf-8"?>
<formControlPr xmlns="http://schemas.microsoft.com/office/spreadsheetml/2009/9/main" objectType="Drop" dropStyle="combo" dx="16" fmlaLink="Brauzusätze!$I$6" fmlaRange="Brauzusätze!$A$7:$A$13" noThreeD="1" sel="1" val="0"/>
</file>

<file path=xl/ctrlProps/ctrlProp9.xml><?xml version="1.0" encoding="utf-8"?>
<formControlPr xmlns="http://schemas.microsoft.com/office/spreadsheetml/2009/9/main" objectType="Drop" dropStyle="combo" dx="16" fmlaLink="Malze!$H$60" fmlaRange="Malze!$A$59:$A$69" noThreeD="1" sel="1" val="0"/>
</file>

<file path=xl/drawings/_rels/drawing1.xml.rels><?xml version="1.0" encoding="UTF-8" standalone="yes"?>
<Relationships xmlns="http://schemas.openxmlformats.org/package/2006/relationships"><Relationship Id="rId8" Type="http://schemas.openxmlformats.org/officeDocument/2006/relationships/hyperlink" Target="#Bierfarbe!A1"/><Relationship Id="rId3" Type="http://schemas.openxmlformats.org/officeDocument/2006/relationships/hyperlink" Target="#Eckdaten!A1"/><Relationship Id="rId7" Type="http://schemas.openxmlformats.org/officeDocument/2006/relationships/hyperlink" Target="#Hefe!A1"/><Relationship Id="rId2" Type="http://schemas.openxmlformats.org/officeDocument/2006/relationships/hyperlink" Target="#'Rezept+Protokoll'!A1"/><Relationship Id="rId1" Type="http://schemas.openxmlformats.org/officeDocument/2006/relationships/hyperlink" Target="#'Bier-Berechnung'!A1"/><Relationship Id="rId6" Type="http://schemas.openxmlformats.org/officeDocument/2006/relationships/hyperlink" Target="#Hopfen!A1"/><Relationship Id="rId11" Type="http://schemas.openxmlformats.org/officeDocument/2006/relationships/hyperlink" Target="#Brennnerleistungen!A1"/><Relationship Id="rId5" Type="http://schemas.openxmlformats.org/officeDocument/2006/relationships/hyperlink" Target="#Malze!A1"/><Relationship Id="rId10" Type="http://schemas.openxmlformats.org/officeDocument/2006/relationships/image" Target="../media/image1.png"/><Relationship Id="rId4" Type="http://schemas.openxmlformats.org/officeDocument/2006/relationships/hyperlink" Target="#Biersorten!A1"/><Relationship Id="rId9" Type="http://schemas.openxmlformats.org/officeDocument/2006/relationships/hyperlink" Target="#Brauzus&#228;tze!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0</xdr:col>
      <xdr:colOff>752475</xdr:colOff>
      <xdr:row>10</xdr:row>
      <xdr:rowOff>133764</xdr:rowOff>
    </xdr:from>
    <xdr:to>
      <xdr:col>3</xdr:col>
      <xdr:colOff>0</xdr:colOff>
      <xdr:row>13</xdr:row>
      <xdr:rowOff>110987</xdr:rowOff>
    </xdr:to>
    <xdr:sp macro="" textlink="">
      <xdr:nvSpPr>
        <xdr:cNvPr id="4" name="Abgerundetes Rechteck 3" title="Berechnung">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752475" y="1964221"/>
          <a:ext cx="2883590" cy="474179"/>
        </a:xfrm>
        <a:prstGeom prst="roundRect">
          <a:avLst/>
        </a:prstGeom>
        <a:solidFill>
          <a:srgbClr val="FEAD40"/>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Berechnung des Bieres </a:t>
          </a:r>
        </a:p>
      </xdr:txBody>
    </xdr:sp>
    <xdr:clientData/>
  </xdr:twoCellAnchor>
  <xdr:twoCellAnchor>
    <xdr:from>
      <xdr:col>0</xdr:col>
      <xdr:colOff>752475</xdr:colOff>
      <xdr:row>14</xdr:row>
      <xdr:rowOff>28006</xdr:rowOff>
    </xdr:from>
    <xdr:to>
      <xdr:col>3</xdr:col>
      <xdr:colOff>0</xdr:colOff>
      <xdr:row>17</xdr:row>
      <xdr:rowOff>8956</xdr:rowOff>
    </xdr:to>
    <xdr:sp macro="" textlink="">
      <xdr:nvSpPr>
        <xdr:cNvPr id="5" name="Abgerundetes Rechteck 4" title="Berechnung">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752475" y="2521071"/>
          <a:ext cx="2883590" cy="477907"/>
        </a:xfrm>
        <a:prstGeom prst="roundRect">
          <a:avLst/>
        </a:prstGeom>
        <a:solidFill>
          <a:srgbClr val="FEAD40"/>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Rezept</a:t>
          </a:r>
          <a:r>
            <a:rPr lang="de-CH" sz="1400" b="1" baseline="0">
              <a:solidFill>
                <a:sysClr val="windowText" lastClr="000000"/>
              </a:solidFill>
              <a:latin typeface="Calibri" panose="020F0502020204030204" pitchFamily="34" charset="0"/>
              <a:cs typeface="Calibri" panose="020F0502020204030204" pitchFamily="34" charset="0"/>
            </a:rPr>
            <a:t> + Protokoll</a:t>
          </a:r>
          <a:endParaRPr lang="de-CH" sz="14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3</xdr:col>
      <xdr:colOff>702780</xdr:colOff>
      <xdr:row>20</xdr:row>
      <xdr:rowOff>105553</xdr:rowOff>
    </xdr:from>
    <xdr:to>
      <xdr:col>7</xdr:col>
      <xdr:colOff>538370</xdr:colOff>
      <xdr:row>23</xdr:row>
      <xdr:rowOff>86503</xdr:rowOff>
    </xdr:to>
    <xdr:sp macro="" textlink="">
      <xdr:nvSpPr>
        <xdr:cNvPr id="6" name="Abgerundetes Rechteck 5" title="Berechnung">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4338845" y="3592531"/>
          <a:ext cx="2883590" cy="477907"/>
        </a:xfrm>
        <a:prstGeom prst="roundRect">
          <a:avLst/>
        </a:prstGeom>
        <a:solidFill>
          <a:schemeClr val="bg1">
            <a:lumMod val="75000"/>
          </a:schemeClr>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Eckdaten Geräte + Wasser</a:t>
          </a:r>
        </a:p>
      </xdr:txBody>
    </xdr:sp>
    <xdr:clientData/>
  </xdr:twoCellAnchor>
  <xdr:twoCellAnchor>
    <xdr:from>
      <xdr:col>0</xdr:col>
      <xdr:colOff>760757</xdr:colOff>
      <xdr:row>20</xdr:row>
      <xdr:rowOff>105553</xdr:rowOff>
    </xdr:from>
    <xdr:to>
      <xdr:col>3</xdr:col>
      <xdr:colOff>8282</xdr:colOff>
      <xdr:row>23</xdr:row>
      <xdr:rowOff>86502</xdr:rowOff>
    </xdr:to>
    <xdr:sp macro="" textlink="">
      <xdr:nvSpPr>
        <xdr:cNvPr id="7" name="Abgerundetes Rechteck 6" title="Berechnung">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760757" y="3186683"/>
          <a:ext cx="2883590" cy="477906"/>
        </a:xfrm>
        <a:prstGeom prst="roundRect">
          <a:avLst/>
        </a:prstGeom>
        <a:solidFill>
          <a:srgbClr val="FDE555"/>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Biersorten</a:t>
          </a:r>
        </a:p>
      </xdr:txBody>
    </xdr:sp>
    <xdr:clientData/>
  </xdr:twoCellAnchor>
  <xdr:twoCellAnchor>
    <xdr:from>
      <xdr:col>0</xdr:col>
      <xdr:colOff>760757</xdr:colOff>
      <xdr:row>24</xdr:row>
      <xdr:rowOff>17083</xdr:rowOff>
    </xdr:from>
    <xdr:to>
      <xdr:col>3</xdr:col>
      <xdr:colOff>8282</xdr:colOff>
      <xdr:row>26</xdr:row>
      <xdr:rowOff>163686</xdr:rowOff>
    </xdr:to>
    <xdr:sp macro="" textlink="">
      <xdr:nvSpPr>
        <xdr:cNvPr id="8" name="Abgerundetes Rechteck 7" title="Berechnung">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760757" y="3595170"/>
          <a:ext cx="2295525" cy="477907"/>
        </a:xfrm>
        <a:prstGeom prst="roundRect">
          <a:avLst/>
        </a:prstGeom>
        <a:solidFill>
          <a:srgbClr val="FDE555"/>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Malze</a:t>
          </a:r>
        </a:p>
      </xdr:txBody>
    </xdr:sp>
    <xdr:clientData/>
  </xdr:twoCellAnchor>
  <xdr:twoCellAnchor>
    <xdr:from>
      <xdr:col>0</xdr:col>
      <xdr:colOff>760757</xdr:colOff>
      <xdr:row>27</xdr:row>
      <xdr:rowOff>94267</xdr:rowOff>
    </xdr:from>
    <xdr:to>
      <xdr:col>3</xdr:col>
      <xdr:colOff>8282</xdr:colOff>
      <xdr:row>30</xdr:row>
      <xdr:rowOff>75217</xdr:rowOff>
    </xdr:to>
    <xdr:sp macro="" textlink="">
      <xdr:nvSpPr>
        <xdr:cNvPr id="9" name="Abgerundetes Rechteck 8" title="Berechnung">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760757" y="4334963"/>
          <a:ext cx="2883590" cy="477906"/>
        </a:xfrm>
        <a:prstGeom prst="roundRect">
          <a:avLst/>
        </a:prstGeom>
        <a:solidFill>
          <a:srgbClr val="FDE555"/>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Hopfen</a:t>
          </a:r>
        </a:p>
      </xdr:txBody>
    </xdr:sp>
    <xdr:clientData/>
  </xdr:twoCellAnchor>
  <xdr:twoCellAnchor>
    <xdr:from>
      <xdr:col>0</xdr:col>
      <xdr:colOff>760757</xdr:colOff>
      <xdr:row>31</xdr:row>
      <xdr:rowOff>5798</xdr:rowOff>
    </xdr:from>
    <xdr:to>
      <xdr:col>3</xdr:col>
      <xdr:colOff>8282</xdr:colOff>
      <xdr:row>33</xdr:row>
      <xdr:rowOff>152399</xdr:rowOff>
    </xdr:to>
    <xdr:sp macro="" textlink="">
      <xdr:nvSpPr>
        <xdr:cNvPr id="10" name="Abgerundetes Rechteck 9" title="Berechnung">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60757" y="4743450"/>
          <a:ext cx="2295525" cy="477906"/>
        </a:xfrm>
        <a:prstGeom prst="roundRect">
          <a:avLst/>
        </a:prstGeom>
        <a:solidFill>
          <a:srgbClr val="FDE555"/>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Hefe</a:t>
          </a:r>
        </a:p>
      </xdr:txBody>
    </xdr:sp>
    <xdr:clientData/>
  </xdr:twoCellAnchor>
  <xdr:twoCellAnchor>
    <xdr:from>
      <xdr:col>3</xdr:col>
      <xdr:colOff>708733</xdr:colOff>
      <xdr:row>23</xdr:row>
      <xdr:rowOff>159959</xdr:rowOff>
    </xdr:from>
    <xdr:to>
      <xdr:col>7</xdr:col>
      <xdr:colOff>544323</xdr:colOff>
      <xdr:row>26</xdr:row>
      <xdr:rowOff>140909</xdr:rowOff>
    </xdr:to>
    <xdr:sp macro="" textlink="">
      <xdr:nvSpPr>
        <xdr:cNvPr id="11" name="Abgerundetes Rechteck 10" title="Berechnung">
          <a:hlinkClick xmlns:r="http://schemas.openxmlformats.org/officeDocument/2006/relationships" r:id="rId8"/>
          <a:extLst>
            <a:ext uri="{FF2B5EF4-FFF2-40B4-BE49-F238E27FC236}">
              <a16:creationId xmlns:a16="http://schemas.microsoft.com/office/drawing/2014/main" id="{00000000-0008-0000-0000-00000B000000}"/>
            </a:ext>
          </a:extLst>
        </xdr:cNvPr>
        <xdr:cNvSpPr/>
      </xdr:nvSpPr>
      <xdr:spPr>
        <a:xfrm>
          <a:off x="3750780" y="4315240"/>
          <a:ext cx="2883590" cy="463153"/>
        </a:xfrm>
        <a:prstGeom prst="roundRect">
          <a:avLst/>
        </a:prstGeom>
        <a:solidFill>
          <a:schemeClr val="bg1">
            <a:lumMod val="75000"/>
          </a:schemeClr>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Bierfarben</a:t>
          </a:r>
        </a:p>
      </xdr:txBody>
    </xdr:sp>
    <xdr:clientData/>
  </xdr:twoCellAnchor>
  <xdr:twoCellAnchor>
    <xdr:from>
      <xdr:col>0</xdr:col>
      <xdr:colOff>760757</xdr:colOff>
      <xdr:row>34</xdr:row>
      <xdr:rowOff>82982</xdr:rowOff>
    </xdr:from>
    <xdr:to>
      <xdr:col>3</xdr:col>
      <xdr:colOff>8282</xdr:colOff>
      <xdr:row>37</xdr:row>
      <xdr:rowOff>63933</xdr:rowOff>
    </xdr:to>
    <xdr:sp macro="" textlink="">
      <xdr:nvSpPr>
        <xdr:cNvPr id="12" name="Abgerundetes Rechteck 11" title="Berechnung">
          <a:hlinkClick xmlns:r="http://schemas.openxmlformats.org/officeDocument/2006/relationships" r:id="rId9"/>
          <a:extLst>
            <a:ext uri="{FF2B5EF4-FFF2-40B4-BE49-F238E27FC236}">
              <a16:creationId xmlns:a16="http://schemas.microsoft.com/office/drawing/2014/main" id="{00000000-0008-0000-0000-00000C000000}"/>
            </a:ext>
          </a:extLst>
        </xdr:cNvPr>
        <xdr:cNvSpPr/>
      </xdr:nvSpPr>
      <xdr:spPr>
        <a:xfrm>
          <a:off x="760757" y="5317591"/>
          <a:ext cx="2295525" cy="477907"/>
        </a:xfrm>
        <a:prstGeom prst="roundRect">
          <a:avLst/>
        </a:prstGeom>
        <a:solidFill>
          <a:srgbClr val="FDE555"/>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Brauzusätze</a:t>
          </a:r>
        </a:p>
      </xdr:txBody>
    </xdr:sp>
    <xdr:clientData/>
  </xdr:twoCellAnchor>
  <xdr:twoCellAnchor editAs="oneCell">
    <xdr:from>
      <xdr:col>4</xdr:col>
      <xdr:colOff>8283</xdr:colOff>
      <xdr:row>0</xdr:row>
      <xdr:rowOff>57978</xdr:rowOff>
    </xdr:from>
    <xdr:to>
      <xdr:col>6</xdr:col>
      <xdr:colOff>0</xdr:colOff>
      <xdr:row>3</xdr:row>
      <xdr:rowOff>47386</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05145" y="57978"/>
          <a:ext cx="1515717" cy="692287"/>
        </a:xfrm>
        <a:prstGeom prst="rect">
          <a:avLst/>
        </a:prstGeom>
      </xdr:spPr>
    </xdr:pic>
    <xdr:clientData/>
  </xdr:twoCellAnchor>
  <xdr:twoCellAnchor>
    <xdr:from>
      <xdr:col>3</xdr:col>
      <xdr:colOff>662610</xdr:colOff>
      <xdr:row>10</xdr:row>
      <xdr:rowOff>66261</xdr:rowOff>
    </xdr:from>
    <xdr:to>
      <xdr:col>8</xdr:col>
      <xdr:colOff>24848</xdr:colOff>
      <xdr:row>18</xdr:row>
      <xdr:rowOff>137949</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697472" y="2102640"/>
          <a:ext cx="3172238" cy="1385481"/>
        </a:xfrm>
        <a:prstGeom prst="rect">
          <a:avLst/>
        </a:prstGeom>
        <a:solidFill>
          <a:srgbClr val="FFFF99">
            <a:alpha val="34902"/>
          </a:srgbClr>
        </a:solidFill>
        <a:ln w="9525" cmpd="sng">
          <a:noFill/>
        </a:ln>
        <a:effectLst>
          <a:glow>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latin typeface="Calibri" panose="020F0502020204030204" pitchFamily="34" charset="0"/>
            </a:rPr>
            <a:t>Bitte beachte</a:t>
          </a:r>
        </a:p>
        <a:p>
          <a:r>
            <a:rPr lang="de-CH" sz="900">
              <a:latin typeface="Calibri" panose="020F0502020204030204" pitchFamily="34" charset="0"/>
            </a:rPr>
            <a:t>Die Berechnungen</a:t>
          </a:r>
          <a:r>
            <a:rPr lang="de-CH" sz="900" baseline="0">
              <a:latin typeface="Calibri" panose="020F0502020204030204" pitchFamily="34" charset="0"/>
            </a:rPr>
            <a:t> </a:t>
          </a:r>
          <a:r>
            <a:rPr lang="de-CH" sz="900">
              <a:latin typeface="Calibri" panose="020F0502020204030204" pitchFamily="34" charset="0"/>
            </a:rPr>
            <a:t>sind Näherungswerte und hängen von Vielen weiteren Faktoren ab, die den Rahmen dieses Tools sprengen würden. Nach meiner Erfahrung sind die Werte für den Hobbybrauer mehr</a:t>
          </a:r>
          <a:r>
            <a:rPr lang="de-CH" sz="900" baseline="0">
              <a:latin typeface="Calibri" panose="020F0502020204030204" pitchFamily="34" charset="0"/>
            </a:rPr>
            <a:t> als </a:t>
          </a:r>
          <a:r>
            <a:rPr lang="de-CH" sz="900">
              <a:latin typeface="Calibri" panose="020F0502020204030204" pitchFamily="34" charset="0"/>
            </a:rPr>
            <a:t>ausreichend.</a:t>
          </a:r>
        </a:p>
        <a:p>
          <a:r>
            <a:rPr lang="de-CH" sz="900">
              <a:latin typeface="Calibri" panose="020F0502020204030204" pitchFamily="34" charset="0"/>
            </a:rPr>
            <a:t>Klicke auf die neben- und</a:t>
          </a:r>
          <a:r>
            <a:rPr lang="de-CH" sz="900" baseline="0">
              <a:latin typeface="Calibri" panose="020F0502020204030204" pitchFamily="34" charset="0"/>
            </a:rPr>
            <a:t>  untenstehenden Felder, um in die verschiedenen Arbeitsblätter zu gelangen. </a:t>
          </a:r>
        </a:p>
        <a:p>
          <a:r>
            <a:rPr lang="de-CH" sz="900" b="1" baseline="0">
              <a:latin typeface="Calibri" panose="020F0502020204030204" pitchFamily="34" charset="0"/>
            </a:rPr>
            <a:t>Fülle nur die weissen Felder aus.</a:t>
          </a:r>
          <a:endParaRPr lang="de-CH" sz="900" b="1">
            <a:latin typeface="Calibri" panose="020F0502020204030204" pitchFamily="34" charset="0"/>
          </a:endParaRPr>
        </a:p>
        <a:p>
          <a:r>
            <a:rPr lang="de-CH" sz="900">
              <a:latin typeface="Calibri" panose="020F0502020204030204" pitchFamily="34" charset="0"/>
            </a:rPr>
            <a:t>Hans</a:t>
          </a:r>
          <a:r>
            <a:rPr lang="de-CH" sz="900" baseline="0">
              <a:latin typeface="Calibri" panose="020F0502020204030204" pitchFamily="34" charset="0"/>
            </a:rPr>
            <a:t> Utz bei Fragen: hans.utz@utz-kom.ch</a:t>
          </a:r>
          <a:endParaRPr lang="de-CH" sz="900">
            <a:latin typeface="Calibri" panose="020F0502020204030204" pitchFamily="34" charset="0"/>
          </a:endParaRPr>
        </a:p>
      </xdr:txBody>
    </xdr:sp>
    <xdr:clientData/>
  </xdr:twoCellAnchor>
  <xdr:twoCellAnchor>
    <xdr:from>
      <xdr:col>3</xdr:col>
      <xdr:colOff>723952</xdr:colOff>
      <xdr:row>27</xdr:row>
      <xdr:rowOff>65173</xdr:rowOff>
    </xdr:from>
    <xdr:to>
      <xdr:col>7</xdr:col>
      <xdr:colOff>559542</xdr:colOff>
      <xdr:row>30</xdr:row>
      <xdr:rowOff>46124</xdr:rowOff>
    </xdr:to>
    <xdr:sp macro="" textlink="">
      <xdr:nvSpPr>
        <xdr:cNvPr id="15" name="Abgerundetes Rechteck 14" title="Berechnung">
          <a:hlinkClick xmlns:r="http://schemas.openxmlformats.org/officeDocument/2006/relationships" r:id="rId11"/>
          <a:extLst>
            <a:ext uri="{FF2B5EF4-FFF2-40B4-BE49-F238E27FC236}">
              <a16:creationId xmlns:a16="http://schemas.microsoft.com/office/drawing/2014/main" id="{00000000-0008-0000-0000-00000F000000}"/>
            </a:ext>
          </a:extLst>
        </xdr:cNvPr>
        <xdr:cNvSpPr/>
      </xdr:nvSpPr>
      <xdr:spPr>
        <a:xfrm>
          <a:off x="3765999" y="4863392"/>
          <a:ext cx="2883590" cy="463154"/>
        </a:xfrm>
        <a:prstGeom prst="roundRect">
          <a:avLst/>
        </a:prstGeom>
        <a:solidFill>
          <a:schemeClr val="bg1">
            <a:lumMod val="75000"/>
          </a:schemeClr>
        </a:solidFill>
        <a:ln>
          <a:noFill/>
        </a:ln>
        <a:scene3d>
          <a:camera prst="orthographicFront"/>
          <a:lightRig rig="morning" dir="t"/>
        </a:scene3d>
        <a:sp3d extrusionH="31750" prstMaterial="matte">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CH" sz="1400" b="1">
              <a:solidFill>
                <a:sysClr val="windowText" lastClr="000000"/>
              </a:solidFill>
              <a:latin typeface="Calibri" panose="020F0502020204030204" pitchFamily="34" charset="0"/>
              <a:cs typeface="Calibri" panose="020F0502020204030204" pitchFamily="34" charset="0"/>
            </a:rPr>
            <a:t>Brennerleistung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152400</xdr:colOff>
      <xdr:row>0</xdr:row>
      <xdr:rowOff>104775</xdr:rowOff>
    </xdr:from>
    <xdr:to>
      <xdr:col>8</xdr:col>
      <xdr:colOff>22725</xdr:colOff>
      <xdr:row>1</xdr:row>
      <xdr:rowOff>354841</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04775"/>
          <a:ext cx="1070475" cy="4881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184650</xdr:colOff>
      <xdr:row>2</xdr:row>
      <xdr:rowOff>11941</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4350" y="0"/>
          <a:ext cx="1080000" cy="4881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142875</xdr:colOff>
          <xdr:row>60</xdr:row>
          <xdr:rowOff>9525</xdr:rowOff>
        </xdr:from>
        <xdr:to>
          <xdr:col>2</xdr:col>
          <xdr:colOff>76200</xdr:colOff>
          <xdr:row>61</xdr:row>
          <xdr:rowOff>47625</xdr:rowOff>
        </xdr:to>
        <xdr:sp macro="" textlink="">
          <xdr:nvSpPr>
            <xdr:cNvPr id="31751" name="Drop Down 7" hidden="1">
              <a:extLst>
                <a:ext uri="{63B3BB69-23CF-44E3-9099-C40C66FF867C}">
                  <a14:compatExt spid="_x0000_s31751"/>
                </a:ext>
                <a:ext uri="{FF2B5EF4-FFF2-40B4-BE49-F238E27FC236}">
                  <a16:creationId xmlns:a16="http://schemas.microsoft.com/office/drawing/2014/main" id="{00000000-0008-0000-0A00-00000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126</xdr:row>
          <xdr:rowOff>114300</xdr:rowOff>
        </xdr:from>
        <xdr:to>
          <xdr:col>2</xdr:col>
          <xdr:colOff>466725</xdr:colOff>
          <xdr:row>129</xdr:row>
          <xdr:rowOff>47625</xdr:rowOff>
        </xdr:to>
        <xdr:sp macro="" textlink="">
          <xdr:nvSpPr>
            <xdr:cNvPr id="3104" name="Object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11</xdr:col>
      <xdr:colOff>0</xdr:colOff>
      <xdr:row>0</xdr:row>
      <xdr:rowOff>0</xdr:rowOff>
    </xdr:from>
    <xdr:to>
      <xdr:col>12</xdr:col>
      <xdr:colOff>497294</xdr:colOff>
      <xdr:row>2</xdr:row>
      <xdr:rowOff>39956</xdr:rowOff>
    </xdr:to>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63618" y="0"/>
          <a:ext cx="1080000" cy="4881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139921</xdr:colOff>
      <xdr:row>0</xdr:row>
      <xdr:rowOff>0</xdr:rowOff>
    </xdr:from>
    <xdr:to>
      <xdr:col>10</xdr:col>
      <xdr:colOff>546403</xdr:colOff>
      <xdr:row>3</xdr:row>
      <xdr:rowOff>121747</xdr:rowOff>
    </xdr:to>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9246" y="0"/>
          <a:ext cx="1035132" cy="912322"/>
        </a:xfrm>
        <a:prstGeom prst="rect">
          <a:avLst/>
        </a:prstGeom>
      </xdr:spPr>
    </xdr:pic>
    <xdr:clientData/>
  </xdr:twoCellAnchor>
  <xdr:twoCellAnchor>
    <xdr:from>
      <xdr:col>0</xdr:col>
      <xdr:colOff>0</xdr:colOff>
      <xdr:row>2</xdr:row>
      <xdr:rowOff>57150</xdr:rowOff>
    </xdr:from>
    <xdr:to>
      <xdr:col>8</xdr:col>
      <xdr:colOff>561975</xdr:colOff>
      <xdr:row>5</xdr:row>
      <xdr:rowOff>220979</xdr:rowOff>
    </xdr:to>
    <xdr:sp macro="" textlink="">
      <xdr:nvSpPr>
        <xdr:cNvPr id="4" name="Textfeld 3">
          <a:extLst>
            <a:ext uri="{FF2B5EF4-FFF2-40B4-BE49-F238E27FC236}">
              <a16:creationId xmlns:a16="http://schemas.microsoft.com/office/drawing/2014/main" id="{00000000-0008-0000-0C00-000004000000}"/>
            </a:ext>
          </a:extLst>
        </xdr:cNvPr>
        <xdr:cNvSpPr txBox="1"/>
      </xdr:nvSpPr>
      <xdr:spPr>
        <a:xfrm>
          <a:off x="0" y="552450"/>
          <a:ext cx="6124575" cy="986789"/>
        </a:xfrm>
        <a:prstGeom prst="rect">
          <a:avLst/>
        </a:prstGeom>
        <a:solidFill>
          <a:schemeClr val="bg1">
            <a:lumMod val="85000"/>
          </a:schemeClr>
        </a:solid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atin typeface="Calibri" panose="020F0502020204030204" pitchFamily="34" charset="0"/>
            </a:rPr>
            <a:t>Die Aufheizzeit sind Richtwerte: Diese hängen nicht nur von der Brennerleistung, sondern auch von der Anfangs- und Umgebungstemperatur, Beschaffenheit der Kochbehältnisse und anderen Faktoren ab. Darum sind die Richtwerte bei einem Wirkungsgrad von 50% berechnet - in der Praxis hat sich dies in Etwa bewahrheitet. </a:t>
          </a:r>
        </a:p>
        <a:p>
          <a:r>
            <a:rPr lang="de-CH" sz="1100">
              <a:latin typeface="Calibri" panose="020F0502020204030204" pitchFamily="34" charset="0"/>
            </a:rPr>
            <a:t>Starttemperatur = 8 Grad</a:t>
          </a:r>
          <a:r>
            <a:rPr lang="de-CH" sz="1100" baseline="0">
              <a:latin typeface="Calibri" panose="020F0502020204030204" pitchFamily="34" charset="0"/>
            </a:rPr>
            <a:t> C, Endtemperatur = 100 Grad C</a:t>
          </a:r>
          <a:endParaRPr lang="de-CH" sz="1100">
            <a:latin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57150</xdr:rowOff>
        </xdr:from>
        <xdr:to>
          <xdr:col>7</xdr:col>
          <xdr:colOff>9525</xdr:colOff>
          <xdr:row>7</xdr:row>
          <xdr:rowOff>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9525</xdr:rowOff>
        </xdr:from>
        <xdr:to>
          <xdr:col>2</xdr:col>
          <xdr:colOff>1295400</xdr:colOff>
          <xdr:row>28</xdr:row>
          <xdr:rowOff>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2</xdr:col>
          <xdr:colOff>1295400</xdr:colOff>
          <xdr:row>29</xdr:row>
          <xdr:rowOff>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1295400</xdr:colOff>
          <xdr:row>30</xdr:row>
          <xdr:rowOff>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2</xdr:col>
          <xdr:colOff>1295400</xdr:colOff>
          <xdr:row>31</xdr:row>
          <xdr:rowOff>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xdr:col>
          <xdr:colOff>1295400</xdr:colOff>
          <xdr:row>32</xdr:row>
          <xdr:rowOff>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19050</xdr:rowOff>
        </xdr:from>
        <xdr:to>
          <xdr:col>2</xdr:col>
          <xdr:colOff>1314450</xdr:colOff>
          <xdr:row>43</xdr:row>
          <xdr:rowOff>9525</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1323975</xdr:colOff>
          <xdr:row>50</xdr:row>
          <xdr:rowOff>0</xdr:rowOff>
        </xdr:to>
        <xdr:sp macro="" textlink="">
          <xdr:nvSpPr>
            <xdr:cNvPr id="21525" name="Drop Down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19050</xdr:rowOff>
        </xdr:from>
        <xdr:to>
          <xdr:col>2</xdr:col>
          <xdr:colOff>1314450</xdr:colOff>
          <xdr:row>44</xdr:row>
          <xdr:rowOff>9525</xdr:rowOff>
        </xdr:to>
        <xdr:sp macro="" textlink="">
          <xdr:nvSpPr>
            <xdr:cNvPr id="21526" name="Drop Down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1314450</xdr:colOff>
          <xdr:row>39</xdr:row>
          <xdr:rowOff>9525</xdr:rowOff>
        </xdr:to>
        <xdr:sp macro="" textlink="">
          <xdr:nvSpPr>
            <xdr:cNvPr id="21527" name="Drop Down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2</xdr:col>
          <xdr:colOff>1314450</xdr:colOff>
          <xdr:row>40</xdr:row>
          <xdr:rowOff>9525</xdr:rowOff>
        </xdr:to>
        <xdr:sp macro="" textlink="">
          <xdr:nvSpPr>
            <xdr:cNvPr id="21528" name="Drop Down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xdr:rowOff>
        </xdr:from>
        <xdr:to>
          <xdr:col>2</xdr:col>
          <xdr:colOff>1314450</xdr:colOff>
          <xdr:row>35</xdr:row>
          <xdr:rowOff>9525</xdr:rowOff>
        </xdr:to>
        <xdr:sp macro="" textlink="">
          <xdr:nvSpPr>
            <xdr:cNvPr id="21529" name="Drop Down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xdr:rowOff>
        </xdr:from>
        <xdr:to>
          <xdr:col>2</xdr:col>
          <xdr:colOff>1314450</xdr:colOff>
          <xdr:row>36</xdr:row>
          <xdr:rowOff>9525</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190500</xdr:rowOff>
        </xdr:from>
        <xdr:to>
          <xdr:col>2</xdr:col>
          <xdr:colOff>1314450</xdr:colOff>
          <xdr:row>65</xdr:row>
          <xdr:rowOff>190500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9525</xdr:rowOff>
        </xdr:from>
        <xdr:to>
          <xdr:col>2</xdr:col>
          <xdr:colOff>1314450</xdr:colOff>
          <xdr:row>67</xdr:row>
          <xdr:rowOff>190500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9525</xdr:rowOff>
        </xdr:from>
        <xdr:to>
          <xdr:col>2</xdr:col>
          <xdr:colOff>1323975</xdr:colOff>
          <xdr:row>71</xdr:row>
          <xdr:rowOff>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19050</xdr:rowOff>
        </xdr:from>
        <xdr:to>
          <xdr:col>2</xdr:col>
          <xdr:colOff>1323975</xdr:colOff>
          <xdr:row>72</xdr:row>
          <xdr:rowOff>9525</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9525</xdr:rowOff>
        </xdr:from>
        <xdr:to>
          <xdr:col>2</xdr:col>
          <xdr:colOff>1314450</xdr:colOff>
          <xdr:row>66</xdr:row>
          <xdr:rowOff>190500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9525</xdr:rowOff>
        </xdr:from>
        <xdr:to>
          <xdr:col>2</xdr:col>
          <xdr:colOff>1323975</xdr:colOff>
          <xdr:row>77</xdr:row>
          <xdr:rowOff>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83</xdr:row>
          <xdr:rowOff>0</xdr:rowOff>
        </xdr:from>
        <xdr:to>
          <xdr:col>2</xdr:col>
          <xdr:colOff>1304925</xdr:colOff>
          <xdr:row>84</xdr:row>
          <xdr:rowOff>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9525</xdr:rowOff>
        </xdr:from>
        <xdr:to>
          <xdr:col>2</xdr:col>
          <xdr:colOff>1314450</xdr:colOff>
          <xdr:row>56</xdr:row>
          <xdr:rowOff>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9525</xdr:rowOff>
        </xdr:from>
        <xdr:to>
          <xdr:col>2</xdr:col>
          <xdr:colOff>1314450</xdr:colOff>
          <xdr:row>57</xdr:row>
          <xdr:rowOff>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1314450</xdr:colOff>
          <xdr:row>58</xdr:row>
          <xdr:rowOff>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1314450</xdr:colOff>
          <xdr:row>58</xdr:row>
          <xdr:rowOff>180975</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293077</xdr:colOff>
      <xdr:row>0</xdr:row>
      <xdr:rowOff>21983</xdr:rowOff>
    </xdr:from>
    <xdr:to>
      <xdr:col>6</xdr:col>
      <xdr:colOff>1373077</xdr:colOff>
      <xdr:row>2</xdr:row>
      <xdr:rowOff>77886</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7635" y="21983"/>
          <a:ext cx="1080000" cy="488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232946</xdr:colOff>
      <xdr:row>0</xdr:row>
      <xdr:rowOff>0</xdr:rowOff>
    </xdr:from>
    <xdr:to>
      <xdr:col>7</xdr:col>
      <xdr:colOff>528965</xdr:colOff>
      <xdr:row>2</xdr:row>
      <xdr:rowOff>97110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6619" y="0"/>
          <a:ext cx="1080000" cy="4927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7</xdr:col>
          <xdr:colOff>571500</xdr:colOff>
          <xdr:row>16</xdr:row>
          <xdr:rowOff>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152400</xdr:rowOff>
        </xdr:from>
        <xdr:to>
          <xdr:col>7</xdr:col>
          <xdr:colOff>571500</xdr:colOff>
          <xdr:row>16</xdr:row>
          <xdr:rowOff>152400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9525</xdr:rowOff>
        </xdr:from>
        <xdr:to>
          <xdr:col>4</xdr:col>
          <xdr:colOff>466725</xdr:colOff>
          <xdr:row>31</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Jodnormal Erreicht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394608</xdr:colOff>
      <xdr:row>0</xdr:row>
      <xdr:rowOff>68035</xdr:rowOff>
    </xdr:from>
    <xdr:to>
      <xdr:col>10</xdr:col>
      <xdr:colOff>603752</xdr:colOff>
      <xdr:row>2</xdr:row>
      <xdr:rowOff>56844</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89572" y="68035"/>
          <a:ext cx="1080000" cy="478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1080000</xdr:colOff>
      <xdr:row>2</xdr:row>
      <xdr:rowOff>17544</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3941" y="0"/>
          <a:ext cx="1080000" cy="4881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2058998</xdr:colOff>
      <xdr:row>0</xdr:row>
      <xdr:rowOff>51155</xdr:rowOff>
    </xdr:from>
    <xdr:to>
      <xdr:col>5</xdr:col>
      <xdr:colOff>3138998</xdr:colOff>
      <xdr:row>2</xdr:row>
      <xdr:rowOff>63096</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17348" y="51155"/>
          <a:ext cx="1080000" cy="4723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1080000</xdr:colOff>
      <xdr:row>2</xdr:row>
      <xdr:rowOff>17544</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9059" y="0"/>
          <a:ext cx="1080000" cy="4881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1080000</xdr:colOff>
      <xdr:row>2</xdr:row>
      <xdr:rowOff>11941</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50" y="0"/>
          <a:ext cx="1080000" cy="4881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403725</xdr:colOff>
      <xdr:row>2</xdr:row>
      <xdr:rowOff>97666</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0"/>
          <a:ext cx="1080000" cy="48819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spDef>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ctrlProp" Target="../ctrlProps/ctrlProp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image" Target="../media/image4.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C000"/>
    <pageSetUpPr fitToPage="1"/>
  </sheetPr>
  <dimension ref="B1:H39"/>
  <sheetViews>
    <sheetView zoomScale="145" zoomScaleNormal="145" workbookViewId="0">
      <selection activeCell="I6" sqref="I6"/>
    </sheetView>
  </sheetViews>
  <sheetFormatPr baseColWidth="10" defaultColWidth="11.42578125" defaultRowHeight="12.75"/>
  <cols>
    <col min="1" max="1" width="2.5703125" style="43" customWidth="1"/>
    <col min="2" max="2" width="11.42578125" style="43"/>
    <col min="3" max="3" width="31.5703125" style="43" customWidth="1"/>
    <col min="4" max="4" width="11.42578125" style="43"/>
    <col min="5" max="5" width="11.42578125" style="43" customWidth="1"/>
    <col min="6" max="16384" width="11.42578125" style="43"/>
  </cols>
  <sheetData>
    <row r="1" spans="2:8" ht="21">
      <c r="B1" s="383" t="s">
        <v>1974</v>
      </c>
    </row>
    <row r="2" spans="2:8" ht="21">
      <c r="B2" s="383"/>
    </row>
    <row r="4" spans="2:8" ht="16.5" customHeight="1">
      <c r="B4" s="130" t="s">
        <v>810</v>
      </c>
      <c r="C4" s="591">
        <f>'Bier-Berechnung'!C3</f>
        <v>0</v>
      </c>
    </row>
    <row r="5" spans="2:8" ht="16.5" customHeight="1">
      <c r="B5" s="130" t="s">
        <v>648</v>
      </c>
      <c r="C5" s="150" t="str">
        <f>'Bier-Berechnung'!E7</f>
        <v/>
      </c>
    </row>
    <row r="6" spans="2:8" ht="16.5" customHeight="1">
      <c r="B6" s="131" t="s">
        <v>809</v>
      </c>
      <c r="C6" s="592">
        <f>'Rezept+Protokoll'!B4</f>
        <v>0</v>
      </c>
    </row>
    <row r="7" spans="2:8" ht="16.5" customHeight="1">
      <c r="B7" s="131" t="s">
        <v>811</v>
      </c>
      <c r="C7" s="133">
        <f>'Rezept+Protokoll'!E4</f>
        <v>0</v>
      </c>
    </row>
    <row r="8" spans="2:8" ht="16.5" customHeight="1">
      <c r="B8" s="83"/>
      <c r="C8" s="83"/>
    </row>
    <row r="9" spans="2:8" ht="7.15" customHeight="1"/>
    <row r="10" spans="2:8" ht="15.75">
      <c r="B10" s="71" t="s">
        <v>1614</v>
      </c>
    </row>
    <row r="12" spans="2:8">
      <c r="E12" s="577"/>
      <c r="F12" s="578"/>
      <c r="G12" s="578"/>
      <c r="H12" s="578"/>
    </row>
    <row r="13" spans="2:8">
      <c r="E13" s="577"/>
      <c r="F13" s="578"/>
      <c r="G13" s="578"/>
      <c r="H13" s="578"/>
    </row>
    <row r="14" spans="2:8">
      <c r="E14" s="578"/>
      <c r="F14" s="578"/>
      <c r="G14" s="578"/>
      <c r="H14" s="578"/>
    </row>
    <row r="15" spans="2:8">
      <c r="B15" s="384"/>
      <c r="E15" s="578"/>
      <c r="F15" s="578"/>
      <c r="G15" s="578"/>
      <c r="H15" s="578"/>
    </row>
    <row r="16" spans="2:8">
      <c r="E16" s="578"/>
      <c r="F16" s="578"/>
      <c r="G16" s="578"/>
      <c r="H16" s="578"/>
    </row>
    <row r="17" spans="2:8">
      <c r="E17" s="578"/>
      <c r="F17" s="578"/>
      <c r="G17" s="578"/>
      <c r="H17" s="578"/>
    </row>
    <row r="20" spans="2:8" ht="15.75">
      <c r="B20" s="71" t="s">
        <v>1659</v>
      </c>
      <c r="E20" s="71" t="s">
        <v>1650</v>
      </c>
    </row>
    <row r="39" spans="2:3" ht="24.75" customHeight="1">
      <c r="B39" s="689" t="s">
        <v>2052</v>
      </c>
      <c r="C39" s="689"/>
    </row>
  </sheetData>
  <mergeCells count="1">
    <mergeCell ref="B39:C39"/>
  </mergeCells>
  <pageMargins left="0.7" right="0.7" top="0.78740157499999996" bottom="0.78740157499999996" header="0.3" footer="0.3"/>
  <pageSetup paperSize="9" scale="86"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theme="0" tint="-0.14999847407452621"/>
  </sheetPr>
  <dimension ref="A1:AW97"/>
  <sheetViews>
    <sheetView zoomScale="70" zoomScaleNormal="70" workbookViewId="0">
      <selection activeCell="I2" sqref="I2"/>
    </sheetView>
  </sheetViews>
  <sheetFormatPr baseColWidth="10" defaultColWidth="11.42578125" defaultRowHeight="12.75"/>
  <cols>
    <col min="1" max="1" width="54.140625" style="1" customWidth="1"/>
    <col min="2" max="3" width="8.7109375" style="2" customWidth="1"/>
    <col min="4" max="4" width="1.5703125" style="3" customWidth="1"/>
    <col min="5" max="5" width="11.140625" style="3" customWidth="1"/>
    <col min="6" max="8" width="6" style="3" customWidth="1"/>
    <col min="9" max="9" width="23" style="596" customWidth="1"/>
    <col min="10" max="49" width="11.42578125" style="596"/>
    <col min="50" max="16384" width="11.42578125" style="1"/>
  </cols>
  <sheetData>
    <row r="1" spans="1:49" s="608" customFormat="1" ht="18.75">
      <c r="A1" s="641" t="s">
        <v>192</v>
      </c>
      <c r="B1" s="642"/>
      <c r="C1" s="642"/>
      <c r="D1" s="643"/>
      <c r="E1" s="643"/>
      <c r="F1" s="643"/>
      <c r="G1" s="643"/>
      <c r="H1" s="643"/>
      <c r="I1" s="644"/>
      <c r="J1" s="644"/>
      <c r="K1" s="644"/>
      <c r="L1" s="644"/>
      <c r="M1" s="644"/>
    </row>
    <row r="2" spans="1:49" s="608" customFormat="1" ht="44.25" customHeight="1">
      <c r="A2" s="705" t="s">
        <v>1976</v>
      </c>
      <c r="B2" s="705"/>
      <c r="C2" s="705"/>
      <c r="D2" s="705"/>
      <c r="E2" s="705"/>
      <c r="F2" s="705"/>
      <c r="G2" s="705"/>
      <c r="H2" s="705"/>
      <c r="I2" s="644"/>
      <c r="J2" s="644"/>
      <c r="K2" s="644"/>
      <c r="L2" s="644"/>
      <c r="M2" s="644"/>
    </row>
    <row r="3" spans="1:49" s="581" customFormat="1" ht="20.25" customHeight="1">
      <c r="A3" s="701" t="s">
        <v>1977</v>
      </c>
      <c r="B3" s="701"/>
      <c r="C3" s="701"/>
      <c r="D3" s="662"/>
      <c r="E3" s="702" t="s">
        <v>1978</v>
      </c>
      <c r="F3" s="703"/>
      <c r="G3" s="703"/>
      <c r="H3" s="704"/>
      <c r="I3" s="645"/>
      <c r="J3" s="646"/>
      <c r="K3" s="646"/>
      <c r="L3" s="646"/>
      <c r="M3" s="646"/>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row>
    <row r="4" spans="1:49" ht="18.95" customHeight="1">
      <c r="A4" s="638" t="s">
        <v>1975</v>
      </c>
      <c r="B4" s="639" t="s">
        <v>82</v>
      </c>
      <c r="C4" s="640" t="s">
        <v>184</v>
      </c>
      <c r="D4" s="663"/>
      <c r="E4" s="634" t="s">
        <v>1660</v>
      </c>
      <c r="F4" s="635" t="s">
        <v>185</v>
      </c>
      <c r="G4" s="636" t="s">
        <v>186</v>
      </c>
      <c r="H4" s="637" t="s">
        <v>187</v>
      </c>
      <c r="J4" s="647"/>
      <c r="K4" s="647"/>
      <c r="L4" s="647"/>
      <c r="M4" s="647"/>
    </row>
    <row r="5" spans="1:49" ht="21.75" customHeight="1">
      <c r="A5" s="511"/>
      <c r="B5" s="649">
        <v>2</v>
      </c>
      <c r="C5" s="650">
        <v>1</v>
      </c>
      <c r="D5" s="664"/>
      <c r="E5" s="579" t="s">
        <v>1661</v>
      </c>
      <c r="F5" s="651">
        <v>255</v>
      </c>
      <c r="G5" s="652">
        <v>230</v>
      </c>
      <c r="H5" s="653">
        <v>153</v>
      </c>
      <c r="J5" s="648"/>
      <c r="K5" s="648"/>
      <c r="L5" s="648"/>
      <c r="M5" s="647"/>
    </row>
    <row r="6" spans="1:49" ht="21.75" customHeight="1">
      <c r="A6" s="512"/>
      <c r="B6" s="654">
        <v>4</v>
      </c>
      <c r="C6" s="655">
        <v>2</v>
      </c>
      <c r="D6" s="665"/>
      <c r="E6" s="580" t="s">
        <v>1662</v>
      </c>
      <c r="F6" s="656">
        <v>255</v>
      </c>
      <c r="G6" s="657">
        <v>216</v>
      </c>
      <c r="H6" s="658">
        <v>120</v>
      </c>
      <c r="J6" s="648"/>
      <c r="K6" s="648"/>
      <c r="L6" s="648"/>
      <c r="M6" s="647"/>
    </row>
    <row r="7" spans="1:49" ht="21.75" customHeight="1">
      <c r="A7" s="513"/>
      <c r="B7" s="654">
        <v>6</v>
      </c>
      <c r="C7" s="655">
        <v>3</v>
      </c>
      <c r="D7" s="665"/>
      <c r="E7" s="580" t="s">
        <v>1663</v>
      </c>
      <c r="F7" s="656">
        <v>255</v>
      </c>
      <c r="G7" s="657">
        <v>202</v>
      </c>
      <c r="H7" s="658">
        <v>90</v>
      </c>
      <c r="J7" s="648"/>
      <c r="K7" s="648"/>
      <c r="L7" s="648"/>
      <c r="M7" s="647"/>
    </row>
    <row r="8" spans="1:49" ht="21.75" customHeight="1">
      <c r="A8" s="514"/>
      <c r="B8" s="654">
        <v>8</v>
      </c>
      <c r="C8" s="655">
        <v>4</v>
      </c>
      <c r="D8" s="665"/>
      <c r="E8" s="580" t="s">
        <v>1664</v>
      </c>
      <c r="F8" s="656">
        <v>255</v>
      </c>
      <c r="G8" s="657">
        <v>191</v>
      </c>
      <c r="H8" s="658">
        <v>66</v>
      </c>
      <c r="J8" s="648"/>
      <c r="K8" s="648"/>
      <c r="L8" s="648"/>
      <c r="M8" s="644"/>
    </row>
    <row r="9" spans="1:49" ht="21.75" customHeight="1">
      <c r="A9" s="515"/>
      <c r="B9" s="654">
        <v>10</v>
      </c>
      <c r="C9" s="655">
        <v>5</v>
      </c>
      <c r="D9" s="665"/>
      <c r="E9" s="580" t="s">
        <v>1665</v>
      </c>
      <c r="F9" s="656">
        <v>251</v>
      </c>
      <c r="G9" s="657">
        <v>177</v>
      </c>
      <c r="H9" s="658">
        <v>35</v>
      </c>
      <c r="J9" s="648"/>
      <c r="K9" s="648"/>
      <c r="L9" s="648"/>
      <c r="M9" s="647"/>
    </row>
    <row r="10" spans="1:49" ht="21.75" customHeight="1">
      <c r="A10" s="516"/>
      <c r="B10" s="654">
        <v>12</v>
      </c>
      <c r="C10" s="655">
        <v>6</v>
      </c>
      <c r="D10" s="665"/>
      <c r="E10" s="580" t="s">
        <v>1666</v>
      </c>
      <c r="F10" s="656">
        <v>248</v>
      </c>
      <c r="G10" s="657">
        <v>166</v>
      </c>
      <c r="H10" s="658">
        <v>0</v>
      </c>
      <c r="J10" s="648"/>
      <c r="K10" s="648"/>
      <c r="L10" s="648"/>
      <c r="M10" s="647"/>
    </row>
    <row r="11" spans="1:49" ht="21.75" customHeight="1">
      <c r="A11" s="517"/>
      <c r="B11" s="654">
        <v>14</v>
      </c>
      <c r="C11" s="655">
        <v>7</v>
      </c>
      <c r="D11" s="665"/>
      <c r="E11" s="580" t="s">
        <v>1667</v>
      </c>
      <c r="F11" s="656">
        <v>243</v>
      </c>
      <c r="G11" s="657">
        <v>156</v>
      </c>
      <c r="H11" s="658">
        <v>0</v>
      </c>
      <c r="J11" s="648"/>
      <c r="K11" s="648"/>
      <c r="L11" s="648"/>
      <c r="M11" s="647"/>
    </row>
    <row r="12" spans="1:49" ht="21.75" customHeight="1">
      <c r="A12" s="518"/>
      <c r="B12" s="654">
        <v>16</v>
      </c>
      <c r="C12" s="655">
        <v>8</v>
      </c>
      <c r="D12" s="665"/>
      <c r="E12" s="580" t="s">
        <v>1668</v>
      </c>
      <c r="F12" s="656">
        <v>234</v>
      </c>
      <c r="G12" s="657">
        <v>143</v>
      </c>
      <c r="H12" s="658">
        <v>0</v>
      </c>
      <c r="J12" s="648"/>
      <c r="K12" s="648"/>
      <c r="L12" s="648"/>
      <c r="M12" s="647"/>
    </row>
    <row r="13" spans="1:49" ht="21.75" customHeight="1">
      <c r="A13" s="519"/>
      <c r="B13" s="654">
        <v>18</v>
      </c>
      <c r="C13" s="655">
        <v>9</v>
      </c>
      <c r="D13" s="665"/>
      <c r="E13" s="580" t="s">
        <v>1669</v>
      </c>
      <c r="F13" s="656">
        <v>229</v>
      </c>
      <c r="G13" s="657">
        <v>133</v>
      </c>
      <c r="H13" s="658">
        <v>0</v>
      </c>
      <c r="J13" s="648"/>
      <c r="K13" s="648"/>
      <c r="L13" s="648"/>
      <c r="M13" s="644"/>
    </row>
    <row r="14" spans="1:49" ht="21.75" customHeight="1">
      <c r="A14" s="520"/>
      <c r="B14" s="654">
        <v>20</v>
      </c>
      <c r="C14" s="655">
        <v>10</v>
      </c>
      <c r="D14" s="665"/>
      <c r="E14" s="580" t="s">
        <v>1670</v>
      </c>
      <c r="F14" s="656">
        <v>222</v>
      </c>
      <c r="G14" s="657">
        <v>124</v>
      </c>
      <c r="H14" s="658">
        <v>0</v>
      </c>
      <c r="J14" s="648"/>
      <c r="K14" s="648"/>
      <c r="L14" s="648"/>
      <c r="M14" s="647"/>
    </row>
    <row r="15" spans="1:49" ht="21.75" customHeight="1">
      <c r="A15" s="521"/>
      <c r="B15" s="654">
        <v>22</v>
      </c>
      <c r="C15" s="655">
        <v>11</v>
      </c>
      <c r="D15" s="665"/>
      <c r="E15" s="580" t="s">
        <v>1671</v>
      </c>
      <c r="F15" s="656">
        <v>215</v>
      </c>
      <c r="G15" s="657">
        <v>114</v>
      </c>
      <c r="H15" s="658">
        <v>0</v>
      </c>
      <c r="J15" s="648"/>
      <c r="K15" s="648"/>
      <c r="L15" s="648"/>
      <c r="M15" s="647"/>
    </row>
    <row r="16" spans="1:49" ht="21.75" customHeight="1">
      <c r="A16" s="522"/>
      <c r="B16" s="654">
        <v>24</v>
      </c>
      <c r="C16" s="655">
        <v>12</v>
      </c>
      <c r="D16" s="665"/>
      <c r="E16" s="580" t="s">
        <v>1672</v>
      </c>
      <c r="F16" s="656">
        <v>207</v>
      </c>
      <c r="G16" s="657">
        <v>105</v>
      </c>
      <c r="H16" s="658">
        <v>0</v>
      </c>
      <c r="J16" s="648"/>
      <c r="K16" s="648"/>
      <c r="L16" s="648"/>
    </row>
    <row r="17" spans="1:12" ht="21.75" customHeight="1">
      <c r="A17" s="523"/>
      <c r="B17" s="654">
        <v>26</v>
      </c>
      <c r="C17" s="655">
        <v>13</v>
      </c>
      <c r="D17" s="665"/>
      <c r="E17" s="580" t="s">
        <v>1673</v>
      </c>
      <c r="F17" s="656">
        <v>203</v>
      </c>
      <c r="G17" s="657">
        <v>98</v>
      </c>
      <c r="H17" s="658">
        <v>0</v>
      </c>
      <c r="J17" s="648"/>
      <c r="K17" s="648"/>
      <c r="L17" s="648"/>
    </row>
    <row r="18" spans="1:12" ht="21.75" customHeight="1">
      <c r="A18" s="524"/>
      <c r="B18" s="654">
        <v>28</v>
      </c>
      <c r="C18" s="655">
        <v>14</v>
      </c>
      <c r="D18" s="665"/>
      <c r="E18" s="580" t="s">
        <v>1674</v>
      </c>
      <c r="F18" s="656">
        <v>195</v>
      </c>
      <c r="G18" s="657">
        <v>89</v>
      </c>
      <c r="H18" s="658">
        <v>0</v>
      </c>
      <c r="J18" s="648"/>
      <c r="K18" s="648"/>
      <c r="L18" s="648"/>
    </row>
    <row r="19" spans="1:12" ht="21.75" customHeight="1">
      <c r="A19" s="525"/>
      <c r="B19" s="654">
        <v>30</v>
      </c>
      <c r="C19" s="655">
        <v>15</v>
      </c>
      <c r="D19" s="665"/>
      <c r="E19" s="580" t="s">
        <v>1675</v>
      </c>
      <c r="F19" s="656">
        <v>187</v>
      </c>
      <c r="G19" s="657">
        <v>81</v>
      </c>
      <c r="H19" s="658">
        <v>0</v>
      </c>
      <c r="J19" s="648"/>
      <c r="K19" s="648"/>
      <c r="L19" s="648"/>
    </row>
    <row r="20" spans="1:12" ht="21.75" customHeight="1">
      <c r="A20" s="526"/>
      <c r="B20" s="654">
        <v>32</v>
      </c>
      <c r="C20" s="655">
        <v>16</v>
      </c>
      <c r="D20" s="665"/>
      <c r="E20" s="580" t="s">
        <v>1676</v>
      </c>
      <c r="F20" s="656">
        <v>181</v>
      </c>
      <c r="G20" s="657">
        <v>76</v>
      </c>
      <c r="H20" s="658">
        <v>0</v>
      </c>
      <c r="J20" s="648"/>
      <c r="K20" s="648"/>
      <c r="L20" s="648"/>
    </row>
    <row r="21" spans="1:12" ht="21.75" customHeight="1">
      <c r="A21" s="527"/>
      <c r="B21" s="654">
        <v>33</v>
      </c>
      <c r="C21" s="655">
        <v>17</v>
      </c>
      <c r="D21" s="665"/>
      <c r="E21" s="580" t="s">
        <v>1677</v>
      </c>
      <c r="F21" s="656">
        <v>176</v>
      </c>
      <c r="G21" s="657">
        <v>69</v>
      </c>
      <c r="H21" s="658">
        <v>0</v>
      </c>
      <c r="J21" s="648"/>
      <c r="K21" s="648"/>
      <c r="L21" s="648"/>
    </row>
    <row r="22" spans="1:12" ht="21.75" customHeight="1">
      <c r="A22" s="528"/>
      <c r="B22" s="654">
        <v>35</v>
      </c>
      <c r="C22" s="655">
        <v>18</v>
      </c>
      <c r="D22" s="665"/>
      <c r="E22" s="580" t="s">
        <v>1678</v>
      </c>
      <c r="F22" s="656">
        <v>166</v>
      </c>
      <c r="G22" s="657">
        <v>62</v>
      </c>
      <c r="H22" s="658">
        <v>0</v>
      </c>
      <c r="J22" s="648"/>
      <c r="K22" s="648"/>
      <c r="L22" s="648"/>
    </row>
    <row r="23" spans="1:12" ht="21.75" customHeight="1">
      <c r="A23" s="529"/>
      <c r="B23" s="654">
        <v>37</v>
      </c>
      <c r="C23" s="655">
        <v>19</v>
      </c>
      <c r="D23" s="665"/>
      <c r="E23" s="580" t="s">
        <v>1679</v>
      </c>
      <c r="F23" s="656">
        <v>161</v>
      </c>
      <c r="G23" s="657">
        <v>55</v>
      </c>
      <c r="H23" s="658">
        <v>0</v>
      </c>
      <c r="J23" s="648"/>
      <c r="K23" s="648"/>
      <c r="L23" s="648"/>
    </row>
    <row r="24" spans="1:12" ht="21.75" customHeight="1">
      <c r="A24" s="530"/>
      <c r="B24" s="654">
        <v>39</v>
      </c>
      <c r="C24" s="655">
        <v>20</v>
      </c>
      <c r="D24" s="665"/>
      <c r="E24" s="580" t="s">
        <v>1680</v>
      </c>
      <c r="F24" s="656">
        <v>155</v>
      </c>
      <c r="G24" s="657">
        <v>50</v>
      </c>
      <c r="H24" s="658">
        <v>0</v>
      </c>
      <c r="J24" s="648"/>
      <c r="K24" s="648"/>
      <c r="L24" s="648"/>
    </row>
    <row r="25" spans="1:12" ht="21.75" customHeight="1">
      <c r="A25" s="531"/>
      <c r="B25" s="654">
        <v>41</v>
      </c>
      <c r="C25" s="655">
        <v>21</v>
      </c>
      <c r="D25" s="665"/>
      <c r="E25" s="580" t="s">
        <v>1681</v>
      </c>
      <c r="F25" s="656">
        <v>149</v>
      </c>
      <c r="G25" s="657">
        <v>45</v>
      </c>
      <c r="H25" s="658">
        <v>0</v>
      </c>
      <c r="J25" s="648"/>
      <c r="K25" s="648"/>
      <c r="L25" s="648"/>
    </row>
    <row r="26" spans="1:12" ht="21.75" customHeight="1">
      <c r="A26" s="532"/>
      <c r="B26" s="654">
        <v>43</v>
      </c>
      <c r="C26" s="655">
        <v>22</v>
      </c>
      <c r="D26" s="665"/>
      <c r="E26" s="580" t="s">
        <v>1682</v>
      </c>
      <c r="F26" s="656">
        <v>142</v>
      </c>
      <c r="G26" s="657">
        <v>41</v>
      </c>
      <c r="H26" s="658">
        <v>0</v>
      </c>
      <c r="J26" s="648"/>
      <c r="K26" s="648"/>
      <c r="L26" s="648"/>
    </row>
    <row r="27" spans="1:12" ht="21.75" customHeight="1">
      <c r="A27" s="533"/>
      <c r="B27" s="654">
        <v>45</v>
      </c>
      <c r="C27" s="655">
        <v>23</v>
      </c>
      <c r="D27" s="665"/>
      <c r="E27" s="580" t="s">
        <v>1683</v>
      </c>
      <c r="F27" s="656">
        <v>136</v>
      </c>
      <c r="G27" s="657">
        <v>35</v>
      </c>
      <c r="H27" s="658">
        <v>0</v>
      </c>
      <c r="J27" s="648"/>
      <c r="K27" s="648"/>
      <c r="L27" s="648"/>
    </row>
    <row r="28" spans="1:12" ht="21.75" customHeight="1">
      <c r="A28" s="534"/>
      <c r="B28" s="654">
        <v>47</v>
      </c>
      <c r="C28" s="655">
        <v>24</v>
      </c>
      <c r="D28" s="665"/>
      <c r="E28" s="580" t="s">
        <v>1684</v>
      </c>
      <c r="F28" s="656">
        <v>130</v>
      </c>
      <c r="G28" s="657">
        <v>30</v>
      </c>
      <c r="H28" s="658">
        <v>0</v>
      </c>
      <c r="J28" s="648"/>
      <c r="K28" s="648"/>
      <c r="L28" s="648"/>
    </row>
    <row r="29" spans="1:12" ht="21.75" customHeight="1">
      <c r="A29" s="535"/>
      <c r="B29" s="654">
        <v>49</v>
      </c>
      <c r="C29" s="655">
        <v>25</v>
      </c>
      <c r="D29" s="665"/>
      <c r="E29" s="580" t="s">
        <v>1685</v>
      </c>
      <c r="F29" s="656">
        <v>123</v>
      </c>
      <c r="G29" s="657">
        <v>26</v>
      </c>
      <c r="H29" s="658">
        <v>0</v>
      </c>
      <c r="J29" s="648"/>
      <c r="K29" s="648"/>
      <c r="L29" s="648"/>
    </row>
    <row r="30" spans="1:12" ht="21.75" customHeight="1">
      <c r="A30" s="536"/>
      <c r="B30" s="654">
        <v>51</v>
      </c>
      <c r="C30" s="655">
        <v>26</v>
      </c>
      <c r="D30" s="665"/>
      <c r="E30" s="580" t="s">
        <v>1686</v>
      </c>
      <c r="F30" s="656">
        <v>119</v>
      </c>
      <c r="G30" s="657">
        <v>25</v>
      </c>
      <c r="H30" s="658">
        <v>0</v>
      </c>
      <c r="J30" s="648"/>
      <c r="K30" s="648"/>
      <c r="L30" s="648"/>
    </row>
    <row r="31" spans="1:12" ht="21.75" customHeight="1">
      <c r="A31" s="537"/>
      <c r="B31" s="654">
        <v>53</v>
      </c>
      <c r="C31" s="655">
        <v>27</v>
      </c>
      <c r="D31" s="665"/>
      <c r="E31" s="580" t="s">
        <v>1687</v>
      </c>
      <c r="F31" s="656">
        <v>112</v>
      </c>
      <c r="G31" s="657">
        <v>20</v>
      </c>
      <c r="H31" s="658">
        <v>0</v>
      </c>
      <c r="J31" s="648"/>
      <c r="K31" s="648"/>
      <c r="L31" s="648"/>
    </row>
    <row r="32" spans="1:12" ht="21.75" customHeight="1">
      <c r="A32" s="538"/>
      <c r="B32" s="654">
        <v>55</v>
      </c>
      <c r="C32" s="655">
        <v>28</v>
      </c>
      <c r="D32" s="665"/>
      <c r="E32" s="580" t="s">
        <v>1688</v>
      </c>
      <c r="F32" s="656">
        <v>106</v>
      </c>
      <c r="G32" s="657">
        <v>14</v>
      </c>
      <c r="H32" s="658">
        <v>0</v>
      </c>
      <c r="J32" s="648"/>
      <c r="K32" s="648"/>
      <c r="L32" s="648"/>
    </row>
    <row r="33" spans="1:12" ht="21.75" customHeight="1">
      <c r="A33" s="539"/>
      <c r="B33" s="654">
        <v>57</v>
      </c>
      <c r="C33" s="655">
        <v>29</v>
      </c>
      <c r="D33" s="665"/>
      <c r="E33" s="580" t="s">
        <v>1689</v>
      </c>
      <c r="F33" s="656">
        <v>102</v>
      </c>
      <c r="G33" s="657">
        <v>13</v>
      </c>
      <c r="H33" s="658">
        <v>0</v>
      </c>
      <c r="J33" s="648"/>
      <c r="K33" s="648"/>
      <c r="L33" s="648"/>
    </row>
    <row r="34" spans="1:12" ht="21.75" customHeight="1">
      <c r="A34" s="540"/>
      <c r="B34" s="654">
        <v>59</v>
      </c>
      <c r="C34" s="655">
        <v>30</v>
      </c>
      <c r="D34" s="665"/>
      <c r="E34" s="580" t="s">
        <v>1690</v>
      </c>
      <c r="F34" s="656">
        <v>94</v>
      </c>
      <c r="G34" s="657">
        <v>11</v>
      </c>
      <c r="H34" s="658">
        <v>0</v>
      </c>
      <c r="J34" s="648"/>
      <c r="K34" s="648"/>
      <c r="L34" s="648"/>
    </row>
    <row r="35" spans="1:12" ht="21.75" customHeight="1">
      <c r="A35" s="541"/>
      <c r="B35" s="654">
        <v>61</v>
      </c>
      <c r="C35" s="655">
        <v>31</v>
      </c>
      <c r="D35" s="665"/>
      <c r="E35" s="580" t="s">
        <v>1691</v>
      </c>
      <c r="F35" s="656">
        <v>90</v>
      </c>
      <c r="G35" s="657">
        <v>10</v>
      </c>
      <c r="H35" s="658">
        <v>2</v>
      </c>
      <c r="J35" s="648"/>
      <c r="K35" s="648"/>
      <c r="L35" s="648"/>
    </row>
    <row r="36" spans="1:12" ht="21.75" customHeight="1">
      <c r="A36" s="542"/>
      <c r="B36" s="654">
        <v>63</v>
      </c>
      <c r="C36" s="655">
        <v>32</v>
      </c>
      <c r="D36" s="665"/>
      <c r="E36" s="580" t="s">
        <v>1692</v>
      </c>
      <c r="F36" s="656">
        <v>86</v>
      </c>
      <c r="G36" s="657">
        <v>10</v>
      </c>
      <c r="H36" s="658">
        <v>5</v>
      </c>
      <c r="J36" s="648"/>
      <c r="K36" s="648"/>
      <c r="L36" s="648"/>
    </row>
    <row r="37" spans="1:12" ht="21.75" customHeight="1">
      <c r="A37" s="543"/>
      <c r="B37" s="654">
        <v>65</v>
      </c>
      <c r="C37" s="655">
        <v>33</v>
      </c>
      <c r="D37" s="665"/>
      <c r="E37" s="580" t="s">
        <v>1693</v>
      </c>
      <c r="F37" s="656">
        <v>82</v>
      </c>
      <c r="G37" s="657">
        <v>9</v>
      </c>
      <c r="H37" s="658">
        <v>7</v>
      </c>
      <c r="J37" s="648"/>
      <c r="K37" s="648"/>
      <c r="L37" s="648"/>
    </row>
    <row r="38" spans="1:12" ht="21.75" customHeight="1">
      <c r="A38" s="544"/>
      <c r="B38" s="654">
        <v>67</v>
      </c>
      <c r="C38" s="655">
        <v>34</v>
      </c>
      <c r="D38" s="665"/>
      <c r="E38" s="580" t="s">
        <v>1694</v>
      </c>
      <c r="F38" s="656">
        <v>76</v>
      </c>
      <c r="G38" s="657">
        <v>5</v>
      </c>
      <c r="H38" s="658">
        <v>5</v>
      </c>
      <c r="J38" s="648"/>
      <c r="K38" s="648"/>
      <c r="L38" s="648"/>
    </row>
    <row r="39" spans="1:12" ht="21.75" customHeight="1">
      <c r="A39" s="545"/>
      <c r="B39" s="654">
        <v>69</v>
      </c>
      <c r="C39" s="655">
        <v>35</v>
      </c>
      <c r="D39" s="665"/>
      <c r="E39" s="580" t="s">
        <v>1695</v>
      </c>
      <c r="F39" s="656">
        <v>71</v>
      </c>
      <c r="G39" s="657">
        <v>6</v>
      </c>
      <c r="H39" s="658">
        <v>6</v>
      </c>
      <c r="J39" s="648"/>
      <c r="K39" s="648"/>
      <c r="L39" s="648"/>
    </row>
    <row r="40" spans="1:12" ht="21.75" customHeight="1">
      <c r="A40" s="546"/>
      <c r="B40" s="654">
        <v>71</v>
      </c>
      <c r="C40" s="655">
        <v>36</v>
      </c>
      <c r="D40" s="665"/>
      <c r="E40" s="580" t="s">
        <v>1696</v>
      </c>
      <c r="F40" s="656">
        <v>68</v>
      </c>
      <c r="G40" s="657">
        <v>6</v>
      </c>
      <c r="H40" s="658">
        <v>7</v>
      </c>
      <c r="J40" s="648"/>
      <c r="K40" s="648"/>
      <c r="L40" s="648"/>
    </row>
    <row r="41" spans="1:12" ht="21.75" customHeight="1">
      <c r="A41" s="547"/>
      <c r="B41" s="654">
        <v>73</v>
      </c>
      <c r="C41" s="655">
        <v>37</v>
      </c>
      <c r="D41" s="665"/>
      <c r="E41" s="580" t="s">
        <v>1697</v>
      </c>
      <c r="F41" s="656">
        <v>63</v>
      </c>
      <c r="G41" s="657">
        <v>7</v>
      </c>
      <c r="H41" s="658">
        <v>8</v>
      </c>
      <c r="J41" s="648"/>
      <c r="K41" s="648"/>
      <c r="L41" s="648"/>
    </row>
    <row r="42" spans="1:12" ht="21.75" customHeight="1">
      <c r="A42" s="548"/>
      <c r="B42" s="654">
        <v>75</v>
      </c>
      <c r="C42" s="655">
        <v>38</v>
      </c>
      <c r="D42" s="665"/>
      <c r="E42" s="580" t="s">
        <v>1698</v>
      </c>
      <c r="F42" s="656">
        <v>59</v>
      </c>
      <c r="G42" s="657">
        <v>6</v>
      </c>
      <c r="H42" s="658">
        <v>7</v>
      </c>
      <c r="J42" s="648"/>
      <c r="K42" s="648"/>
      <c r="L42" s="648"/>
    </row>
    <row r="43" spans="1:12" ht="21.75" customHeight="1">
      <c r="A43" s="549"/>
      <c r="B43" s="654">
        <v>77</v>
      </c>
      <c r="C43" s="655">
        <v>39</v>
      </c>
      <c r="D43" s="665"/>
      <c r="E43" s="580" t="s">
        <v>1699</v>
      </c>
      <c r="F43" s="656">
        <v>58</v>
      </c>
      <c r="G43" s="657">
        <v>7</v>
      </c>
      <c r="H43" s="658">
        <v>11</v>
      </c>
      <c r="J43" s="648"/>
      <c r="K43" s="648"/>
      <c r="L43" s="648"/>
    </row>
    <row r="44" spans="1:12" ht="21.75" customHeight="1">
      <c r="A44" s="666"/>
      <c r="B44" s="654">
        <v>79</v>
      </c>
      <c r="C44" s="655">
        <v>40</v>
      </c>
      <c r="D44" s="665"/>
      <c r="E44" s="580" t="s">
        <v>1700</v>
      </c>
      <c r="F44" s="656">
        <v>54</v>
      </c>
      <c r="G44" s="657">
        <v>8</v>
      </c>
      <c r="H44" s="658">
        <v>10</v>
      </c>
      <c r="J44" s="648"/>
      <c r="K44" s="648"/>
      <c r="L44" s="648"/>
    </row>
    <row r="45" spans="1:12" s="596" customFormat="1">
      <c r="B45" s="659"/>
      <c r="C45" s="659"/>
      <c r="D45" s="660"/>
      <c r="E45" s="660"/>
      <c r="F45" s="660"/>
      <c r="G45" s="660"/>
      <c r="H45" s="660"/>
    </row>
    <row r="46" spans="1:12" s="596" customFormat="1">
      <c r="B46" s="659"/>
      <c r="C46" s="659"/>
      <c r="D46" s="660"/>
      <c r="E46" s="660"/>
      <c r="F46" s="660"/>
      <c r="G46" s="660"/>
      <c r="H46" s="660"/>
    </row>
    <row r="47" spans="1:12" s="596" customFormat="1">
      <c r="B47" s="659"/>
      <c r="C47" s="659"/>
      <c r="D47" s="660"/>
      <c r="E47" s="660"/>
      <c r="F47" s="660"/>
      <c r="G47" s="660"/>
      <c r="H47" s="660"/>
    </row>
    <row r="48" spans="1:12" s="596" customFormat="1">
      <c r="B48" s="659"/>
      <c r="C48" s="659"/>
      <c r="D48" s="660"/>
      <c r="E48" s="660"/>
      <c r="F48" s="660"/>
      <c r="G48" s="660"/>
      <c r="H48" s="660"/>
    </row>
    <row r="49" spans="2:10" s="596" customFormat="1">
      <c r="B49" s="659"/>
      <c r="C49" s="659"/>
      <c r="D49" s="660"/>
      <c r="E49" s="660"/>
      <c r="F49" s="660"/>
      <c r="G49" s="660"/>
      <c r="H49" s="660"/>
    </row>
    <row r="50" spans="2:10" s="596" customFormat="1">
      <c r="B50" s="659"/>
      <c r="C50" s="659"/>
      <c r="D50" s="660"/>
      <c r="E50" s="660"/>
      <c r="F50" s="660"/>
      <c r="G50" s="660"/>
      <c r="H50" s="660"/>
    </row>
    <row r="51" spans="2:10" s="596" customFormat="1" ht="15">
      <c r="B51" s="659"/>
      <c r="C51" s="659"/>
      <c r="D51" s="660"/>
      <c r="E51" s="660"/>
      <c r="F51" s="661"/>
      <c r="G51" s="661"/>
      <c r="H51" s="661"/>
      <c r="I51" s="646"/>
      <c r="J51" s="647"/>
    </row>
    <row r="52" spans="2:10" s="596" customFormat="1">
      <c r="B52" s="659"/>
      <c r="C52" s="659"/>
      <c r="D52" s="660"/>
      <c r="E52" s="660"/>
      <c r="F52" s="660"/>
      <c r="G52" s="660"/>
      <c r="H52" s="660"/>
    </row>
    <row r="53" spans="2:10" s="596" customFormat="1">
      <c r="B53" s="659"/>
      <c r="C53" s="659"/>
      <c r="D53" s="660"/>
      <c r="E53" s="660"/>
      <c r="F53" s="660"/>
      <c r="G53" s="660"/>
      <c r="H53" s="660"/>
    </row>
    <row r="54" spans="2:10" s="596" customFormat="1">
      <c r="B54" s="659"/>
      <c r="C54" s="659"/>
      <c r="D54" s="660"/>
      <c r="E54" s="660"/>
      <c r="F54" s="660"/>
      <c r="G54" s="660"/>
      <c r="H54" s="660"/>
    </row>
    <row r="55" spans="2:10" s="596" customFormat="1">
      <c r="B55" s="659"/>
      <c r="C55" s="659"/>
      <c r="D55" s="660"/>
      <c r="E55" s="660"/>
      <c r="F55" s="660"/>
      <c r="G55" s="660"/>
      <c r="H55" s="660"/>
    </row>
    <row r="56" spans="2:10" s="596" customFormat="1">
      <c r="B56" s="659"/>
      <c r="C56" s="659"/>
      <c r="D56" s="660"/>
      <c r="E56" s="660"/>
      <c r="F56" s="660"/>
      <c r="G56" s="660"/>
      <c r="H56" s="660"/>
    </row>
    <row r="57" spans="2:10" s="596" customFormat="1">
      <c r="B57" s="659"/>
      <c r="C57" s="659"/>
      <c r="D57" s="660"/>
      <c r="E57" s="660"/>
      <c r="F57" s="660"/>
      <c r="G57" s="660"/>
      <c r="H57" s="660"/>
    </row>
    <row r="58" spans="2:10" s="596" customFormat="1">
      <c r="B58" s="659"/>
      <c r="C58" s="659"/>
      <c r="D58" s="660"/>
      <c r="E58" s="660"/>
      <c r="F58" s="660"/>
      <c r="G58" s="660"/>
      <c r="H58" s="660"/>
    </row>
    <row r="59" spans="2:10" s="596" customFormat="1">
      <c r="B59" s="659"/>
      <c r="C59" s="659"/>
      <c r="D59" s="660"/>
      <c r="E59" s="660"/>
      <c r="F59" s="660"/>
      <c r="G59" s="660"/>
      <c r="H59" s="660"/>
    </row>
    <row r="60" spans="2:10" s="596" customFormat="1">
      <c r="B60" s="659"/>
      <c r="C60" s="659"/>
      <c r="D60" s="660"/>
      <c r="E60" s="660"/>
      <c r="F60" s="660"/>
      <c r="G60" s="660"/>
      <c r="H60" s="660"/>
    </row>
    <row r="61" spans="2:10" s="596" customFormat="1">
      <c r="B61" s="659"/>
      <c r="C61" s="659"/>
      <c r="D61" s="660"/>
      <c r="E61" s="660"/>
      <c r="F61" s="660"/>
      <c r="G61" s="660"/>
      <c r="H61" s="660"/>
    </row>
    <row r="62" spans="2:10" s="596" customFormat="1">
      <c r="B62" s="659"/>
      <c r="C62" s="659"/>
      <c r="D62" s="660"/>
      <c r="E62" s="660"/>
      <c r="F62" s="660"/>
      <c r="G62" s="660"/>
      <c r="H62" s="660"/>
    </row>
    <row r="63" spans="2:10" s="596" customFormat="1">
      <c r="B63" s="659"/>
      <c r="C63" s="659"/>
      <c r="D63" s="660"/>
      <c r="E63" s="660"/>
      <c r="F63" s="660"/>
      <c r="G63" s="660"/>
      <c r="H63" s="660"/>
    </row>
    <row r="64" spans="2:10" s="596" customFormat="1">
      <c r="B64" s="659"/>
      <c r="C64" s="659"/>
      <c r="D64" s="660"/>
      <c r="E64" s="660"/>
      <c r="F64" s="660"/>
      <c r="G64" s="660"/>
      <c r="H64" s="660"/>
    </row>
    <row r="65" spans="2:8" s="596" customFormat="1">
      <c r="B65" s="659"/>
      <c r="C65" s="659"/>
      <c r="D65" s="660"/>
      <c r="E65" s="660"/>
      <c r="F65" s="660"/>
      <c r="G65" s="660"/>
      <c r="H65" s="660"/>
    </row>
    <row r="66" spans="2:8" s="596" customFormat="1">
      <c r="B66" s="659"/>
      <c r="C66" s="659"/>
      <c r="D66" s="660"/>
      <c r="E66" s="660"/>
      <c r="F66" s="660"/>
      <c r="G66" s="660"/>
      <c r="H66" s="660"/>
    </row>
    <row r="67" spans="2:8" s="596" customFormat="1">
      <c r="B67" s="659"/>
      <c r="C67" s="659"/>
      <c r="D67" s="660"/>
      <c r="E67" s="660"/>
      <c r="F67" s="660"/>
      <c r="G67" s="660"/>
      <c r="H67" s="660"/>
    </row>
    <row r="68" spans="2:8" s="596" customFormat="1">
      <c r="B68" s="659"/>
      <c r="C68" s="659"/>
      <c r="D68" s="660"/>
      <c r="E68" s="660"/>
      <c r="F68" s="660"/>
      <c r="G68" s="660"/>
      <c r="H68" s="660"/>
    </row>
    <row r="69" spans="2:8" s="596" customFormat="1">
      <c r="B69" s="659"/>
      <c r="C69" s="659"/>
      <c r="D69" s="660"/>
      <c r="E69" s="660"/>
      <c r="F69" s="660"/>
      <c r="G69" s="660"/>
      <c r="H69" s="660"/>
    </row>
    <row r="70" spans="2:8" s="596" customFormat="1">
      <c r="B70" s="659"/>
      <c r="C70" s="659"/>
      <c r="D70" s="660"/>
      <c r="E70" s="660"/>
      <c r="F70" s="660"/>
      <c r="G70" s="660"/>
      <c r="H70" s="660"/>
    </row>
    <row r="71" spans="2:8" s="596" customFormat="1">
      <c r="B71" s="659"/>
      <c r="C71" s="659"/>
      <c r="D71" s="660"/>
      <c r="E71" s="660"/>
      <c r="F71" s="660"/>
      <c r="G71" s="660"/>
      <c r="H71" s="660"/>
    </row>
    <row r="72" spans="2:8" s="596" customFormat="1">
      <c r="B72" s="659"/>
      <c r="C72" s="659"/>
      <c r="D72" s="660"/>
      <c r="E72" s="660"/>
      <c r="F72" s="660"/>
      <c r="G72" s="660"/>
      <c r="H72" s="660"/>
    </row>
    <row r="73" spans="2:8" s="596" customFormat="1">
      <c r="B73" s="659"/>
      <c r="C73" s="659"/>
      <c r="D73" s="660"/>
      <c r="E73" s="660"/>
      <c r="F73" s="660"/>
      <c r="G73" s="660"/>
      <c r="H73" s="660"/>
    </row>
    <row r="74" spans="2:8" s="596" customFormat="1">
      <c r="B74" s="659"/>
      <c r="C74" s="659"/>
      <c r="D74" s="660"/>
      <c r="E74" s="660"/>
      <c r="F74" s="660"/>
      <c r="G74" s="660"/>
      <c r="H74" s="660"/>
    </row>
    <row r="75" spans="2:8" s="596" customFormat="1">
      <c r="B75" s="659"/>
      <c r="C75" s="659"/>
      <c r="D75" s="660"/>
      <c r="E75" s="660"/>
      <c r="F75" s="660"/>
      <c r="G75" s="660"/>
      <c r="H75" s="660"/>
    </row>
    <row r="76" spans="2:8" s="596" customFormat="1">
      <c r="B76" s="659"/>
      <c r="C76" s="659"/>
      <c r="D76" s="660"/>
      <c r="E76" s="660"/>
      <c r="F76" s="660"/>
      <c r="G76" s="660"/>
      <c r="H76" s="660"/>
    </row>
    <row r="77" spans="2:8" s="596" customFormat="1">
      <c r="B77" s="659"/>
      <c r="C77" s="659"/>
      <c r="D77" s="660"/>
      <c r="E77" s="660"/>
      <c r="F77" s="660"/>
      <c r="G77" s="660"/>
      <c r="H77" s="660"/>
    </row>
    <row r="78" spans="2:8" s="596" customFormat="1">
      <c r="B78" s="659"/>
      <c r="C78" s="659"/>
      <c r="D78" s="660"/>
      <c r="E78" s="660"/>
      <c r="F78" s="660"/>
      <c r="G78" s="660"/>
      <c r="H78" s="660"/>
    </row>
    <row r="79" spans="2:8" s="596" customFormat="1">
      <c r="B79" s="659"/>
      <c r="C79" s="659"/>
      <c r="D79" s="660"/>
      <c r="E79" s="660"/>
      <c r="F79" s="660"/>
      <c r="G79" s="660"/>
      <c r="H79" s="660"/>
    </row>
    <row r="80" spans="2:8" s="596" customFormat="1">
      <c r="B80" s="659"/>
      <c r="C80" s="659"/>
      <c r="D80" s="660"/>
      <c r="E80" s="660"/>
      <c r="F80" s="660"/>
      <c r="G80" s="660"/>
      <c r="H80" s="660"/>
    </row>
    <row r="81" spans="2:8" s="596" customFormat="1">
      <c r="B81" s="659"/>
      <c r="C81" s="659"/>
      <c r="D81" s="660"/>
      <c r="E81" s="660"/>
      <c r="F81" s="660"/>
      <c r="G81" s="660"/>
      <c r="H81" s="660"/>
    </row>
    <row r="82" spans="2:8" s="596" customFormat="1">
      <c r="B82" s="659"/>
      <c r="C82" s="659"/>
      <c r="D82" s="660"/>
      <c r="E82" s="660"/>
      <c r="F82" s="660"/>
      <c r="G82" s="660"/>
      <c r="H82" s="660"/>
    </row>
    <row r="83" spans="2:8" s="596" customFormat="1">
      <c r="B83" s="659"/>
      <c r="C83" s="659"/>
      <c r="D83" s="660"/>
      <c r="E83" s="660"/>
      <c r="F83" s="660"/>
      <c r="G83" s="660"/>
      <c r="H83" s="660"/>
    </row>
    <row r="84" spans="2:8" s="596" customFormat="1">
      <c r="B84" s="659"/>
      <c r="C84" s="659"/>
      <c r="D84" s="660"/>
      <c r="E84" s="660"/>
      <c r="F84" s="660"/>
      <c r="G84" s="660"/>
      <c r="H84" s="660"/>
    </row>
    <row r="85" spans="2:8" s="596" customFormat="1">
      <c r="B85" s="659"/>
      <c r="C85" s="659"/>
      <c r="D85" s="660"/>
      <c r="E85" s="660"/>
      <c r="F85" s="660"/>
      <c r="G85" s="660"/>
      <c r="H85" s="660"/>
    </row>
    <row r="86" spans="2:8" s="596" customFormat="1">
      <c r="B86" s="659"/>
      <c r="C86" s="659"/>
      <c r="D86" s="660"/>
      <c r="E86" s="660"/>
      <c r="F86" s="660"/>
      <c r="G86" s="660"/>
      <c r="H86" s="660"/>
    </row>
    <row r="87" spans="2:8" s="596" customFormat="1">
      <c r="B87" s="659"/>
      <c r="C87" s="659"/>
      <c r="D87" s="660"/>
      <c r="E87" s="660"/>
      <c r="F87" s="660"/>
      <c r="G87" s="660"/>
      <c r="H87" s="660"/>
    </row>
    <row r="88" spans="2:8" s="596" customFormat="1">
      <c r="B88" s="659"/>
      <c r="C88" s="659"/>
      <c r="D88" s="660"/>
      <c r="E88" s="660"/>
      <c r="F88" s="660"/>
      <c r="G88" s="660"/>
      <c r="H88" s="660"/>
    </row>
    <row r="89" spans="2:8" s="596" customFormat="1">
      <c r="B89" s="659"/>
      <c r="C89" s="659"/>
      <c r="D89" s="660"/>
      <c r="E89" s="660"/>
      <c r="F89" s="660"/>
      <c r="G89" s="660"/>
      <c r="H89" s="660"/>
    </row>
    <row r="90" spans="2:8" s="596" customFormat="1">
      <c r="B90" s="659"/>
      <c r="C90" s="659"/>
      <c r="D90" s="660"/>
      <c r="E90" s="660"/>
      <c r="F90" s="660"/>
      <c r="G90" s="660"/>
      <c r="H90" s="660"/>
    </row>
    <row r="91" spans="2:8" s="596" customFormat="1">
      <c r="B91" s="659"/>
      <c r="C91" s="659"/>
      <c r="D91" s="660"/>
      <c r="E91" s="660"/>
      <c r="F91" s="660"/>
      <c r="G91" s="660"/>
      <c r="H91" s="660"/>
    </row>
    <row r="92" spans="2:8" s="596" customFormat="1">
      <c r="B92" s="659"/>
      <c r="C92" s="659"/>
      <c r="D92" s="660"/>
      <c r="E92" s="660"/>
      <c r="F92" s="660"/>
      <c r="G92" s="660"/>
      <c r="H92" s="660"/>
    </row>
    <row r="93" spans="2:8" s="596" customFormat="1">
      <c r="B93" s="659"/>
      <c r="C93" s="659"/>
      <c r="D93" s="660"/>
      <c r="E93" s="660"/>
      <c r="F93" s="660"/>
      <c r="G93" s="660"/>
      <c r="H93" s="660"/>
    </row>
    <row r="94" spans="2:8" s="596" customFormat="1">
      <c r="B94" s="659"/>
      <c r="C94" s="659"/>
      <c r="D94" s="660"/>
      <c r="E94" s="660"/>
      <c r="F94" s="660"/>
      <c r="G94" s="660"/>
      <c r="H94" s="660"/>
    </row>
    <row r="95" spans="2:8" s="596" customFormat="1">
      <c r="B95" s="659"/>
      <c r="C95" s="659"/>
      <c r="D95" s="660"/>
      <c r="E95" s="660"/>
      <c r="F95" s="660"/>
      <c r="G95" s="660"/>
      <c r="H95" s="660"/>
    </row>
    <row r="96" spans="2:8" s="596" customFormat="1">
      <c r="B96" s="659"/>
      <c r="C96" s="659"/>
      <c r="D96" s="660"/>
      <c r="E96" s="660"/>
      <c r="F96" s="660"/>
      <c r="G96" s="660"/>
      <c r="H96" s="660"/>
    </row>
    <row r="97" spans="2:8" s="596" customFormat="1">
      <c r="B97" s="659"/>
      <c r="C97" s="659"/>
      <c r="D97" s="660"/>
      <c r="E97" s="660"/>
      <c r="F97" s="660"/>
      <c r="G97" s="660"/>
      <c r="H97" s="660"/>
    </row>
  </sheetData>
  <mergeCells count="3">
    <mergeCell ref="A3:C3"/>
    <mergeCell ref="E3:H3"/>
    <mergeCell ref="A2:H2"/>
  </mergeCells>
  <conditionalFormatting sqref="J6">
    <cfRule type="colorScale" priority="4">
      <colorScale>
        <cfvo type="min"/>
        <cfvo type="percentile" val="50"/>
        <cfvo type="max"/>
        <color rgb="FFF8696B"/>
        <color rgb="FFFFEB84"/>
        <color rgb="FF63BE7B"/>
      </colorScale>
    </cfRule>
  </conditionalFormatting>
  <conditionalFormatting sqref="I5">
    <cfRule type="colorScale" priority="1">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5">
    <tabColor theme="0" tint="-0.14999847407452621"/>
  </sheetPr>
  <dimension ref="A1:L133"/>
  <sheetViews>
    <sheetView topLeftCell="A19" workbookViewId="0">
      <selection activeCell="E38" sqref="E38"/>
    </sheetView>
  </sheetViews>
  <sheetFormatPr baseColWidth="10" defaultColWidth="11.42578125" defaultRowHeight="15"/>
  <cols>
    <col min="1" max="1" width="48.42578125" style="85" customWidth="1"/>
    <col min="2" max="2" width="12.140625" style="91" customWidth="1"/>
    <col min="3" max="3" width="13.42578125" style="92" customWidth="1"/>
    <col min="4" max="4" width="13.42578125" style="85" customWidth="1"/>
    <col min="5" max="5" width="17.85546875" style="85" customWidth="1"/>
    <col min="6" max="6" width="4.5703125" style="85" customWidth="1"/>
    <col min="7" max="7" width="11.42578125" style="85"/>
    <col min="8" max="8" width="24.140625" style="85" customWidth="1"/>
    <col min="9" max="16384" width="11.42578125" style="85"/>
  </cols>
  <sheetData>
    <row r="1" spans="1:10" ht="18.75">
      <c r="A1" s="84" t="s">
        <v>713</v>
      </c>
    </row>
    <row r="2" spans="1:10" ht="18.75">
      <c r="A2" s="84"/>
    </row>
    <row r="3" spans="1:10" ht="18.75">
      <c r="A3" s="84"/>
    </row>
    <row r="5" spans="1:10">
      <c r="A5" s="86" t="s">
        <v>711</v>
      </c>
      <c r="B5" s="87"/>
      <c r="C5" s="97"/>
      <c r="D5" s="86"/>
    </row>
    <row r="6" spans="1:10">
      <c r="A6" s="88"/>
      <c r="B6" s="89"/>
      <c r="C6" s="98"/>
    </row>
    <row r="7" spans="1:10" ht="15.75">
      <c r="A7" s="93" t="s">
        <v>766</v>
      </c>
      <c r="B7" s="89"/>
      <c r="C7" s="95"/>
      <c r="F7" s="88"/>
      <c r="G7" s="88"/>
      <c r="H7" s="88"/>
      <c r="I7" s="88"/>
      <c r="J7" s="96"/>
    </row>
    <row r="8" spans="1:10" s="220" customFormat="1" ht="12.75">
      <c r="A8" s="217" t="s">
        <v>708</v>
      </c>
      <c r="B8" s="218"/>
      <c r="C8" s="388">
        <f>'Bier-Berechnung'!E17</f>
        <v>20</v>
      </c>
      <c r="F8" s="221"/>
      <c r="G8" s="217"/>
      <c r="H8" s="217"/>
      <c r="I8" s="217"/>
    </row>
    <row r="9" spans="1:10" s="220" customFormat="1" ht="12.75">
      <c r="A9" s="217" t="s">
        <v>1620</v>
      </c>
      <c r="B9" s="218"/>
      <c r="C9" s="389">
        <f>C8/100*D9</f>
        <v>2</v>
      </c>
      <c r="D9" s="223">
        <v>10</v>
      </c>
      <c r="F9" s="221"/>
      <c r="G9" s="219"/>
      <c r="H9" s="217"/>
      <c r="I9" s="217"/>
    </row>
    <row r="10" spans="1:10" s="220" customFormat="1" ht="12.75">
      <c r="A10" s="217" t="s">
        <v>1628</v>
      </c>
      <c r="B10" s="218"/>
      <c r="C10" s="388">
        <f>SUM(C8:C9)</f>
        <v>22</v>
      </c>
      <c r="D10" s="224"/>
      <c r="F10" s="221"/>
      <c r="G10" s="219"/>
      <c r="H10" s="225"/>
      <c r="I10" s="217"/>
    </row>
    <row r="11" spans="1:10" s="220" customFormat="1" ht="12.75">
      <c r="A11" s="217" t="s">
        <v>815</v>
      </c>
      <c r="B11" s="218"/>
      <c r="C11" s="388">
        <f>SUM(C10/100*D11)</f>
        <v>3.74</v>
      </c>
      <c r="D11" s="447">
        <v>17</v>
      </c>
      <c r="F11" s="221"/>
      <c r="G11" s="219"/>
      <c r="H11" s="225"/>
      <c r="I11" s="217"/>
    </row>
    <row r="12" spans="1:10" s="220" customFormat="1" ht="12.75">
      <c r="A12" s="220" t="s">
        <v>1627</v>
      </c>
      <c r="B12" s="231"/>
      <c r="C12" s="588">
        <f>SUM('Bier-Berechnung'!E18)</f>
        <v>0</v>
      </c>
      <c r="F12" s="221"/>
      <c r="G12" s="219"/>
      <c r="H12" s="225"/>
      <c r="I12" s="217"/>
    </row>
    <row r="13" spans="1:10" s="220" customFormat="1" ht="12.75">
      <c r="A13" s="217" t="s">
        <v>1630</v>
      </c>
      <c r="B13" s="218"/>
      <c r="C13" s="507">
        <f>SUM('Bier-Berechnung'!E19)</f>
        <v>0</v>
      </c>
      <c r="D13" s="447"/>
      <c r="F13" s="221"/>
      <c r="G13" s="219"/>
      <c r="H13" s="225"/>
      <c r="I13" s="217"/>
    </row>
    <row r="14" spans="1:10" s="220" customFormat="1" ht="12.75">
      <c r="A14" s="226" t="s">
        <v>1629</v>
      </c>
      <c r="B14" s="227"/>
      <c r="C14" s="390">
        <f>SUM(C10:C13)</f>
        <v>25.740000000000002</v>
      </c>
      <c r="D14" s="226"/>
      <c r="F14" s="221"/>
      <c r="G14" s="219"/>
      <c r="H14" s="225"/>
      <c r="I14" s="217"/>
    </row>
    <row r="15" spans="1:10" s="220" customFormat="1" ht="12.75">
      <c r="A15" s="229" t="s">
        <v>1625</v>
      </c>
      <c r="B15" s="230"/>
      <c r="C15" s="391" t="str">
        <f>IFERROR(C35*D15,"")</f>
        <v/>
      </c>
      <c r="D15" s="446">
        <v>2.5</v>
      </c>
      <c r="F15" s="221"/>
      <c r="G15" s="219"/>
      <c r="H15" s="217"/>
      <c r="I15" s="217"/>
    </row>
    <row r="16" spans="1:10" s="220" customFormat="1" ht="12.75">
      <c r="A16" s="217" t="s">
        <v>1626</v>
      </c>
      <c r="B16" s="218"/>
      <c r="C16" s="388" t="str">
        <f>IFERROR(C14-C15,"")</f>
        <v/>
      </c>
      <c r="F16" s="221"/>
      <c r="G16" s="219"/>
      <c r="H16" s="217"/>
      <c r="I16" s="217"/>
    </row>
    <row r="17" spans="1:12" s="220" customFormat="1" ht="12.75">
      <c r="A17" s="217" t="s">
        <v>1656</v>
      </c>
      <c r="B17" s="218"/>
      <c r="C17" s="219"/>
      <c r="F17" s="221"/>
      <c r="G17" s="219"/>
      <c r="H17" s="217"/>
      <c r="I17" s="217"/>
    </row>
    <row r="18" spans="1:12" s="220" customFormat="1" ht="12.75">
      <c r="A18" s="217" t="s">
        <v>816</v>
      </c>
      <c r="B18" s="218" t="s">
        <v>68</v>
      </c>
      <c r="C18" s="219"/>
      <c r="F18" s="221"/>
      <c r="G18" s="219"/>
      <c r="H18" s="217"/>
      <c r="I18" s="217"/>
    </row>
    <row r="19" spans="1:12" s="220" customFormat="1" ht="12.75">
      <c r="A19" s="217"/>
      <c r="B19" s="218"/>
      <c r="C19" s="219"/>
      <c r="F19" s="221"/>
      <c r="G19" s="219"/>
      <c r="H19" s="217"/>
      <c r="I19" s="217"/>
    </row>
    <row r="20" spans="1:12">
      <c r="A20" s="88"/>
      <c r="B20" s="89"/>
      <c r="C20" s="95"/>
      <c r="F20" s="94"/>
      <c r="G20" s="95"/>
      <c r="H20" s="88"/>
      <c r="I20" s="88"/>
    </row>
    <row r="21" spans="1:12" ht="15.75">
      <c r="A21" s="73" t="s">
        <v>1600</v>
      </c>
      <c r="B21" s="74"/>
      <c r="C21" s="75"/>
      <c r="D21" s="72"/>
      <c r="E21" s="75"/>
      <c r="F21" s="72"/>
      <c r="G21" s="75"/>
      <c r="H21" s="72"/>
      <c r="I21" s="75"/>
      <c r="J21" s="72"/>
      <c r="K21" s="72"/>
      <c r="L21" s="72"/>
    </row>
    <row r="22" spans="1:12" s="217" customFormat="1" ht="12.75">
      <c r="A22" s="75" t="s">
        <v>1601</v>
      </c>
      <c r="B22" s="210" t="s">
        <v>778</v>
      </c>
      <c r="C22" s="76">
        <v>3.7</v>
      </c>
      <c r="E22" s="75"/>
      <c r="F22" s="75"/>
      <c r="G22" s="75"/>
      <c r="H22" s="75"/>
      <c r="K22" s="75"/>
      <c r="L22" s="75"/>
    </row>
    <row r="23" spans="1:12" s="217" customFormat="1" ht="12.75">
      <c r="A23" s="75" t="s">
        <v>1602</v>
      </c>
      <c r="B23" s="210" t="s">
        <v>777</v>
      </c>
      <c r="C23" s="76">
        <f>(Eckdaten!H37*2.8)</f>
        <v>57.231999999999999</v>
      </c>
      <c r="F23" s="75"/>
      <c r="G23" s="75"/>
      <c r="H23" s="75"/>
      <c r="I23" s="75"/>
      <c r="K23" s="75"/>
      <c r="L23" s="75"/>
    </row>
    <row r="24" spans="1:12" s="217" customFormat="1" ht="12.75">
      <c r="A24" s="75" t="s">
        <v>1603</v>
      </c>
      <c r="B24" s="210" t="s">
        <v>777</v>
      </c>
      <c r="C24" s="76">
        <f>(Eckdaten!D38*0.14)</f>
        <v>18.760000000000002</v>
      </c>
      <c r="F24" s="75"/>
      <c r="G24" s="75"/>
      <c r="H24" s="75"/>
      <c r="I24" s="75"/>
      <c r="K24" s="75"/>
      <c r="L24" s="75"/>
    </row>
    <row r="25" spans="1:12" s="217" customFormat="1" ht="12.75">
      <c r="A25" s="211" t="s">
        <v>1604</v>
      </c>
      <c r="B25" s="212" t="s">
        <v>777</v>
      </c>
      <c r="C25" s="213">
        <f>Eckdaten!D40*0.23</f>
        <v>1.6560000000000001</v>
      </c>
      <c r="D25" s="226"/>
      <c r="F25" s="75"/>
      <c r="G25" s="75"/>
      <c r="H25" s="75"/>
      <c r="I25" s="75"/>
      <c r="K25" s="75"/>
      <c r="L25" s="75"/>
    </row>
    <row r="26" spans="1:12" s="217" customFormat="1" ht="12.75">
      <c r="A26" s="214" t="s">
        <v>779</v>
      </c>
      <c r="B26" s="215" t="s">
        <v>777</v>
      </c>
      <c r="C26" s="216">
        <f>((C23-C24)/3.5)-C25/7</f>
        <v>10.75542857142857</v>
      </c>
      <c r="F26" s="75"/>
      <c r="G26" s="75"/>
      <c r="H26" s="75"/>
      <c r="I26" s="75"/>
      <c r="K26" s="75"/>
      <c r="L26" s="75"/>
    </row>
    <row r="27" spans="1:12" s="217" customFormat="1" ht="12.75">
      <c r="B27" s="218"/>
      <c r="E27" s="221"/>
      <c r="F27" s="219"/>
    </row>
    <row r="28" spans="1:12">
      <c r="A28" s="88"/>
      <c r="B28" s="89"/>
      <c r="C28" s="98"/>
    </row>
    <row r="29" spans="1:12" ht="15.75">
      <c r="A29" s="90" t="s">
        <v>182</v>
      </c>
    </row>
    <row r="30" spans="1:12" s="220" customFormat="1" ht="12.75">
      <c r="A30" s="220" t="s">
        <v>1616</v>
      </c>
      <c r="B30" s="231" t="s">
        <v>714</v>
      </c>
      <c r="C30" s="222">
        <f>(('Bier-Berechnung'!E9*4)+1000)</f>
        <v>1000</v>
      </c>
    </row>
    <row r="31" spans="1:12" s="220" customFormat="1" ht="12.75">
      <c r="A31" s="220" t="s">
        <v>710</v>
      </c>
      <c r="B31" s="231" t="s">
        <v>716</v>
      </c>
      <c r="C31" s="222">
        <f>('Bier-Berechnung'!E20*Berechnungen!C30/1000)</f>
        <v>20</v>
      </c>
    </row>
    <row r="32" spans="1:12" s="220" customFormat="1" ht="12.75">
      <c r="A32" s="220" t="s">
        <v>1617</v>
      </c>
      <c r="B32" s="231" t="s">
        <v>16</v>
      </c>
      <c r="C32" s="222">
        <f>('Bier-Berechnung'!E9*100*Berechnungen!C31)/10</f>
        <v>0</v>
      </c>
    </row>
    <row r="33" spans="1:9" s="220" customFormat="1" ht="12.75">
      <c r="A33" s="220" t="s">
        <v>1618</v>
      </c>
      <c r="B33" s="231" t="s">
        <v>16</v>
      </c>
      <c r="C33" s="222">
        <f>SUM('Bier-Berechnung'!D28:D44)</f>
        <v>0</v>
      </c>
      <c r="I33" s="444"/>
    </row>
    <row r="34" spans="1:9" s="220" customFormat="1" ht="12.75">
      <c r="A34" s="226" t="s">
        <v>1619</v>
      </c>
      <c r="B34" s="227" t="s">
        <v>16</v>
      </c>
      <c r="C34" s="228">
        <f>(C33*'Bier-Berechnung'!E21)</f>
        <v>0</v>
      </c>
      <c r="D34" s="226"/>
    </row>
    <row r="35" spans="1:9" s="220" customFormat="1" ht="12.75">
      <c r="A35" s="232" t="s">
        <v>715</v>
      </c>
      <c r="B35" s="233" t="s">
        <v>716</v>
      </c>
      <c r="C35" s="234" t="str">
        <f>IFERROR(C32/C34,"")</f>
        <v/>
      </c>
    </row>
    <row r="37" spans="1:9" ht="15.75">
      <c r="A37" s="90" t="s">
        <v>718</v>
      </c>
    </row>
    <row r="38" spans="1:9" s="220" customFormat="1" ht="12.75">
      <c r="A38" s="220" t="s">
        <v>719</v>
      </c>
      <c r="B38" s="231" t="s">
        <v>82</v>
      </c>
      <c r="C38" s="222">
        <v>3</v>
      </c>
    </row>
    <row r="39" spans="1:9" s="220" customFormat="1" ht="12.75">
      <c r="A39" s="226" t="s">
        <v>720</v>
      </c>
      <c r="B39" s="227" t="s">
        <v>82</v>
      </c>
      <c r="C39" s="228" t="str">
        <f>IFERROR(('Bier-Berechnung'!D28*'Bier-Berechnung'!E28+'Bier-Berechnung'!D29*'Bier-Berechnung'!E29+'Bier-Berechnung'!D30*'Bier-Berechnung'!E30+'Bier-Berechnung'!D31*'Bier-Berechnung'!E31+'Bier-Berechnung'!D32*'Bier-Berechnung'!E32+'Bier-Berechnung'!D35*'Bier-Berechnung'!E35+'Bier-Berechnung'!D36*'Bier-Berechnung'!E36+'Bier-Berechnung'!D39*'Bier-Berechnung'!E39+'Bier-Berechnung'!D40*'Bier-Berechnung'!E40+'Bier-Berechnung'!D43*'Bier-Berechnung'!E43+'Bier-Berechnung'!D44*'Bier-Berechnung'!E44)/'Bier-Berechnung'!D46,"")</f>
        <v/>
      </c>
      <c r="D39" s="226"/>
    </row>
    <row r="40" spans="1:9" s="220" customFormat="1" ht="12.75">
      <c r="A40" s="220" t="s">
        <v>829</v>
      </c>
      <c r="B40" s="231"/>
      <c r="C40" s="222">
        <f>SUM(C38:C39)</f>
        <v>3</v>
      </c>
    </row>
    <row r="41" spans="1:9" s="220" customFormat="1" ht="12.75">
      <c r="B41" s="231"/>
      <c r="C41" s="222"/>
    </row>
    <row r="43" spans="1:9" ht="15.75">
      <c r="A43" s="90" t="s">
        <v>2043</v>
      </c>
    </row>
    <row r="44" spans="1:9" s="220" customFormat="1" ht="12.75">
      <c r="A44" s="226" t="s">
        <v>737</v>
      </c>
      <c r="B44" s="227" t="s">
        <v>729</v>
      </c>
      <c r="C44" s="235" t="s">
        <v>730</v>
      </c>
      <c r="D44" s="236" t="s">
        <v>69</v>
      </c>
      <c r="E44" s="221"/>
      <c r="F44" s="221"/>
    </row>
    <row r="45" spans="1:9" s="220" customFormat="1" ht="12.75">
      <c r="A45" s="233" t="s">
        <v>83</v>
      </c>
      <c r="B45" s="231"/>
      <c r="C45" s="237"/>
    </row>
    <row r="46" spans="1:9" s="220" customFormat="1" ht="12.75">
      <c r="A46" s="231" t="s">
        <v>734</v>
      </c>
      <c r="B46" s="238" t="str">
        <f>IF(ISNUMBER('Bier-Berechnung'!B66),INDEX(Hopfen!$B$7:$B$116,Hopfen!G7),"")</f>
        <v/>
      </c>
      <c r="C46" s="237" t="str">
        <f>IF('Bier-Berechnung'!B66&lt;&gt;"",1.65*POWER(0.000125,(('Bier-Berechnung'!E9/(258.6-(('Bier-Berechnung'!E9/258.2)*227.1)))))*(1-EXP(-0.04*'Bier-Berechnung'!D66))/4.15*100,"")</f>
        <v/>
      </c>
      <c r="D46" s="222" t="str">
        <f>IFERROR((('Bier-Berechnung'!B66*Berechnungen!B46*Berechnungen!C46)/'Bier-Berechnung'!$E$20*10)/100,"")</f>
        <v/>
      </c>
    </row>
    <row r="47" spans="1:9" s="220" customFormat="1" ht="12.75">
      <c r="A47" s="231" t="s">
        <v>735</v>
      </c>
      <c r="B47" s="238" t="str">
        <f>IF(ISNUMBER('Bier-Berechnung'!B67),INDEX(Hopfen!$B$7:$B$116,Hopfen!G8),"")</f>
        <v/>
      </c>
      <c r="C47" s="237" t="str">
        <f>IF('Bier-Berechnung'!B67&lt;&gt;"",1.65*POWER(0.000125,(('Bier-Berechnung'!E9/(258.6-(('Bier-Berechnung'!E9/258.2)*227.1)))))*(1-EXP(-0.04*'Bier-Berechnung'!D67))/4.15*100,"")</f>
        <v/>
      </c>
      <c r="D47" s="222" t="str">
        <f>IFERROR((('Bier-Berechnung'!B67*Berechnungen!B47*Berechnungen!C47)/'Bier-Berechnung'!$E$20*10)/100,"")</f>
        <v/>
      </c>
    </row>
    <row r="48" spans="1:9" s="220" customFormat="1" ht="12.75">
      <c r="A48" s="231" t="s">
        <v>736</v>
      </c>
      <c r="B48" s="238" t="str">
        <f>IF(ISNUMBER('Bier-Berechnung'!B68),INDEX(Hopfen!$B$7:$B$116,Hopfen!G78),"")</f>
        <v/>
      </c>
      <c r="C48" s="237" t="str">
        <f>IF('Bier-Berechnung'!B68&lt;&gt;"",1.65*POWER(0.000125,(('Bier-Berechnung'!E9/(258.6-(('Bier-Berechnung'!E9/258.2)*227.1)))))*(1-EXP(-0.04*'Bier-Berechnung'!D68))/4.15*100,"")</f>
        <v/>
      </c>
      <c r="D48" s="222" t="str">
        <f>IFERROR((('Bier-Berechnung'!B68*Berechnungen!B48*Berechnungen!C48)/'Bier-Berechnung'!$E$20*10)/100,"")</f>
        <v/>
      </c>
    </row>
    <row r="49" spans="1:6" s="220" customFormat="1" ht="12.75">
      <c r="A49" s="231" t="s">
        <v>731</v>
      </c>
      <c r="B49" s="238" t="str">
        <f>IF(ISNUMBER('Bier-Berechnung'!B71),INDEX(Hopfen!$B$7:$B$116,Hopfen!G79),"")</f>
        <v/>
      </c>
      <c r="C49" s="237" t="str">
        <f>IF('Bier-Berechnung'!B71&lt;&gt;"",1.65*POWER(0.000125,(('Bier-Berechnung'!E9/(258.6-(('Bier-Berechnung'!E9/258.2)*227.1)))))*(1-EXP(-0.04*'Bier-Berechnung'!D71))/4.15*100,"")</f>
        <v/>
      </c>
      <c r="D49" s="222" t="str">
        <f>IFERROR((('Bier-Berechnung'!B71*Berechnungen!B49*Berechnungen!C49)/'Bier-Berechnung'!$E$20*10)/100,"")</f>
        <v/>
      </c>
    </row>
    <row r="50" spans="1:6" s="220" customFormat="1" ht="12.75">
      <c r="A50" s="231" t="s">
        <v>732</v>
      </c>
      <c r="B50" s="238" t="str">
        <f>IF(ISNUMBER('Bier-Berechnung'!B72),INDEX(Hopfen!B7:B116,Hopfen!G80),"")</f>
        <v/>
      </c>
      <c r="C50" s="237" t="str">
        <f>IF('Bier-Berechnung'!B72&lt;&gt;"",1.65*POWER(0.000125,(('Bier-Berechnung'!E9/(258.6-(('Bier-Berechnung'!E9/258.2)*227.1)))))*(1-EXP(-0.04*'Bier-Berechnung'!D72))/4.15*100,"")</f>
        <v/>
      </c>
      <c r="D50" s="222" t="str">
        <f>IFERROR((('Bier-Berechnung'!B72*Berechnungen!B50*Berechnungen!C50)/'Bier-Berechnung'!$E$20*10)/100,"")</f>
        <v/>
      </c>
    </row>
    <row r="51" spans="1:6" s="220" customFormat="1" ht="12.75">
      <c r="A51" s="231" t="s">
        <v>1651</v>
      </c>
      <c r="B51" s="238">
        <f>SUM(B49:B50)</f>
        <v>0</v>
      </c>
      <c r="C51" s="237">
        <f>IF('Bier-Berechnung'!B73&lt;&gt;"",1.65*POWER(0.000125,(('Bier-Berechnung'!E10/(258.6-(('Bier-Berechnung'!E10/258.2)*227.1)))))*(1-EXP(-0.04*'Bier-Berechnung'!D73))/4.15*100,"")</f>
        <v>21.894149619435765</v>
      </c>
      <c r="D51" s="222" t="str">
        <f>IFERROR((('Bier-Berechnung'!B73*Berechnungen!B51*Berechnungen!C51)/'Bier-Berechnung'!$E$20*10)/100,"")</f>
        <v/>
      </c>
    </row>
    <row r="52" spans="1:6" s="220" customFormat="1" ht="12.75">
      <c r="A52" s="231" t="s">
        <v>733</v>
      </c>
      <c r="B52" s="238" t="str">
        <f>IF(ISNUMBER('Bier-Berechnung'!B77),INDEX(Hopfen!B7:B116,Hopfen!G81),"")</f>
        <v/>
      </c>
      <c r="C52" s="237" t="str">
        <f>IF('Bier-Berechnung'!B77&lt;&gt;"",1.65*POWER(0.000125,(('Bier-Berechnung'!E9/(258.6-(('Bier-Berechnung'!E9/258.2)*227.1)))))*(1-EXP(-0.04*'Bier-Berechnung'!D77))/4.15*100,"")</f>
        <v/>
      </c>
      <c r="D52" s="222" t="str">
        <f>IFERROR((('Bier-Berechnung'!B77*Berechnungen!B52*Berechnungen!C52)/'Bier-Berechnung'!$E$20*10)/100,"")</f>
        <v/>
      </c>
    </row>
    <row r="53" spans="1:6" s="220" customFormat="1" ht="12.75">
      <c r="B53" s="231"/>
      <c r="C53" s="222"/>
    </row>
    <row r="54" spans="1:6" s="220" customFormat="1" ht="12.75">
      <c r="A54" s="220" t="s">
        <v>748</v>
      </c>
      <c r="B54" s="239" t="s">
        <v>740</v>
      </c>
      <c r="C54" s="222" t="s">
        <v>744</v>
      </c>
    </row>
    <row r="55" spans="1:6" s="220" customFormat="1" ht="12.75">
      <c r="B55" s="239" t="s">
        <v>741</v>
      </c>
      <c r="C55" s="222" t="s">
        <v>745</v>
      </c>
    </row>
    <row r="56" spans="1:6" s="220" customFormat="1" ht="12.75">
      <c r="B56" s="239" t="s">
        <v>742</v>
      </c>
      <c r="C56" s="222" t="s">
        <v>746</v>
      </c>
    </row>
    <row r="57" spans="1:6" s="220" customFormat="1" ht="12.75">
      <c r="B57" s="246" t="s">
        <v>743</v>
      </c>
      <c r="C57" s="222" t="s">
        <v>747</v>
      </c>
    </row>
    <row r="59" spans="1:6" ht="15.75">
      <c r="A59" s="244" t="s">
        <v>1649</v>
      </c>
      <c r="B59" s="87"/>
      <c r="C59" s="99"/>
      <c r="D59" s="86"/>
      <c r="E59" s="88"/>
      <c r="F59" s="88"/>
    </row>
    <row r="60" spans="1:6" s="220" customFormat="1" ht="12.75">
      <c r="A60" s="220" t="s">
        <v>845</v>
      </c>
      <c r="B60" s="454">
        <f>'Bier-Berechnung'!E15</f>
        <v>0</v>
      </c>
      <c r="C60" s="222"/>
    </row>
    <row r="61" spans="1:6" s="220" customFormat="1" ht="12.75">
      <c r="A61" s="220" t="s">
        <v>76</v>
      </c>
      <c r="C61" s="222"/>
    </row>
    <row r="62" spans="1:6" s="220" customFormat="1" ht="12.75">
      <c r="A62" s="220" t="s">
        <v>846</v>
      </c>
      <c r="B62" s="220">
        <f>IF(ISNUMBER(B60),INDEX(Tabellen!H113:H135,Tabellen!I113),"")</f>
        <v>1.6</v>
      </c>
      <c r="C62" s="222"/>
    </row>
    <row r="63" spans="1:6" s="220" customFormat="1" ht="12.75">
      <c r="A63" s="220" t="s">
        <v>847</v>
      </c>
      <c r="B63" s="220">
        <f>B60-B62</f>
        <v>-1.6</v>
      </c>
      <c r="C63" s="222"/>
    </row>
    <row r="64" spans="1:6" s="220" customFormat="1" ht="12.75">
      <c r="C64" s="222"/>
    </row>
    <row r="65" spans="1:6" s="220" customFormat="1" ht="12.75">
      <c r="A65" s="220" t="s">
        <v>1615</v>
      </c>
      <c r="B65" s="455">
        <f>'Rezept+Protokoll'!D58</f>
        <v>0</v>
      </c>
      <c r="C65" s="222"/>
    </row>
    <row r="66" spans="1:6" s="220" customFormat="1" ht="12.75">
      <c r="A66" s="220" t="s">
        <v>1645</v>
      </c>
      <c r="B66" s="456">
        <f>261.1/(261.53-B65)</f>
        <v>0.99835582915917886</v>
      </c>
      <c r="C66" s="222"/>
    </row>
    <row r="67" spans="1:6" s="220" customFormat="1" ht="12.75">
      <c r="A67" s="220" t="s">
        <v>1647</v>
      </c>
      <c r="B67" s="455">
        <f>'Bier-Berechnung'!E13</f>
        <v>0</v>
      </c>
      <c r="C67" s="222"/>
    </row>
    <row r="68" spans="1:6" s="220" customFormat="1" ht="12.75">
      <c r="A68" s="220" t="s">
        <v>842</v>
      </c>
      <c r="B68" s="457">
        <f>((B65-B67)*8.192)*B66</f>
        <v>0</v>
      </c>
      <c r="C68" s="222"/>
    </row>
    <row r="69" spans="1:6" s="220" customFormat="1" ht="12.75">
      <c r="A69" s="220" t="s">
        <v>1648</v>
      </c>
      <c r="B69" s="458">
        <f>'Rezept+Protokoll'!D66</f>
        <v>19.1655552</v>
      </c>
      <c r="C69" s="222"/>
    </row>
    <row r="70" spans="1:6" s="220" customFormat="1" ht="12.75">
      <c r="A70" s="226" t="s">
        <v>843</v>
      </c>
      <c r="B70" s="459">
        <f>B63*2</f>
        <v>-3.2</v>
      </c>
      <c r="C70" s="228"/>
      <c r="D70" s="226"/>
    </row>
    <row r="71" spans="1:6" s="220" customFormat="1" ht="12.75">
      <c r="A71" s="220" t="s">
        <v>844</v>
      </c>
      <c r="B71" s="460">
        <f>(B69*B70)/(B68-B70)</f>
        <v>-19.1655552</v>
      </c>
      <c r="C71" s="222"/>
    </row>
    <row r="72" spans="1:6" ht="15.75" customHeight="1">
      <c r="B72" s="85"/>
    </row>
    <row r="73" spans="1:6" ht="15.75">
      <c r="A73" s="245" t="s">
        <v>1606</v>
      </c>
      <c r="B73" s="87"/>
      <c r="C73" s="99"/>
      <c r="D73" s="86"/>
      <c r="E73" s="88"/>
      <c r="F73" s="88"/>
    </row>
    <row r="74" spans="1:6" s="220" customFormat="1" ht="15.75" customHeight="1">
      <c r="A74" s="220" t="s">
        <v>193</v>
      </c>
      <c r="B74" s="240">
        <f>'Rezept+Protokoll'!D58</f>
        <v>0</v>
      </c>
      <c r="C74" s="222"/>
      <c r="E74" s="217"/>
      <c r="F74" s="217"/>
    </row>
    <row r="75" spans="1:6" s="220" customFormat="1" ht="12.75">
      <c r="A75" s="220" t="s">
        <v>1595</v>
      </c>
      <c r="B75" s="240">
        <f>'Rezept+Protokoll'!D67</f>
        <v>0</v>
      </c>
      <c r="C75" s="222"/>
      <c r="E75" s="217"/>
      <c r="F75" s="217"/>
    </row>
    <row r="76" spans="1:6" s="220" customFormat="1" ht="12.75">
      <c r="A76" s="220" t="s">
        <v>1596</v>
      </c>
      <c r="B76" s="241" t="str">
        <f>IFERROR((1-(B75/B74))*100,"")</f>
        <v/>
      </c>
      <c r="C76" s="222"/>
      <c r="E76" s="217"/>
      <c r="F76" s="217"/>
    </row>
    <row r="77" spans="1:6" s="220" customFormat="1" ht="12.75">
      <c r="A77" s="220" t="s">
        <v>1597</v>
      </c>
      <c r="B77" s="241">
        <f>0.1808*B74+0.8192*B75</f>
        <v>0</v>
      </c>
      <c r="C77" s="222"/>
      <c r="E77" s="217"/>
      <c r="F77" s="217"/>
    </row>
    <row r="78" spans="1:6" s="220" customFormat="1" ht="12.75">
      <c r="A78" s="226" t="s">
        <v>1645</v>
      </c>
      <c r="B78" s="452">
        <f>B66</f>
        <v>0.99835582915917886</v>
      </c>
      <c r="C78" s="228"/>
      <c r="D78" s="226"/>
      <c r="E78" s="217"/>
      <c r="F78" s="217"/>
    </row>
    <row r="79" spans="1:6" s="220" customFormat="1" ht="12.75">
      <c r="A79" s="220" t="s">
        <v>1598</v>
      </c>
      <c r="B79" s="242">
        <f>(((B74-B77)/(2.0665-0.010655*B74))/100)</f>
        <v>0</v>
      </c>
      <c r="C79" s="222"/>
      <c r="E79" s="217"/>
      <c r="F79" s="217"/>
    </row>
    <row r="80" spans="1:6" s="220" customFormat="1" ht="15.75" customHeight="1">
      <c r="A80" s="220" t="s">
        <v>1605</v>
      </c>
      <c r="B80" s="243">
        <f>B78*B79/0.7894*100</f>
        <v>0</v>
      </c>
      <c r="C80" s="222"/>
      <c r="E80" s="217"/>
      <c r="F80" s="217"/>
    </row>
    <row r="81" spans="1:6">
      <c r="E81" s="88"/>
      <c r="F81" s="88"/>
    </row>
    <row r="82" spans="1:6" ht="15.75">
      <c r="A82" s="245" t="s">
        <v>1654</v>
      </c>
      <c r="B82" s="87"/>
      <c r="C82" s="99"/>
      <c r="D82" s="86"/>
      <c r="E82" s="88"/>
      <c r="F82" s="88"/>
    </row>
    <row r="83" spans="1:6" s="220" customFormat="1" ht="12.75">
      <c r="A83" s="220" t="s">
        <v>1657</v>
      </c>
      <c r="B83" s="451">
        <f>'Rezept+Protokoll'!D53</f>
        <v>19.1655552</v>
      </c>
      <c r="C83" s="222"/>
      <c r="E83" s="217"/>
      <c r="F83" s="217"/>
    </row>
    <row r="84" spans="1:6" s="220" customFormat="1" ht="12.75">
      <c r="A84" s="220" t="s">
        <v>1641</v>
      </c>
      <c r="B84" s="231">
        <v>0.96</v>
      </c>
      <c r="C84" s="222"/>
      <c r="E84" s="217"/>
      <c r="F84" s="217"/>
    </row>
    <row r="85" spans="1:6" s="220" customFormat="1" ht="12.75">
      <c r="A85" s="220" t="s">
        <v>1642</v>
      </c>
      <c r="B85" s="450">
        <f>'Rezept+Protokoll'!D58</f>
        <v>0</v>
      </c>
      <c r="C85" s="222"/>
      <c r="E85" s="217"/>
      <c r="F85" s="217"/>
    </row>
    <row r="86" spans="1:6" s="220" customFormat="1" ht="12.75">
      <c r="A86" s="220" t="s">
        <v>1646</v>
      </c>
      <c r="B86" s="448">
        <f>B66*0.998</f>
        <v>0.99635911750086048</v>
      </c>
      <c r="C86" s="222"/>
      <c r="E86" s="217"/>
      <c r="F86" s="217"/>
    </row>
    <row r="87" spans="1:6" s="220" customFormat="1" ht="12.75">
      <c r="A87" s="226" t="s">
        <v>182</v>
      </c>
      <c r="B87" s="449" t="str">
        <f>C35</f>
        <v/>
      </c>
      <c r="C87" s="228"/>
      <c r="D87" s="226"/>
      <c r="E87" s="217"/>
      <c r="F87" s="217"/>
    </row>
    <row r="88" spans="1:6" s="220" customFormat="1" ht="12.75">
      <c r="A88" s="220" t="s">
        <v>195</v>
      </c>
      <c r="B88" s="241" t="e">
        <f>B83*B85*B86/B87</f>
        <v>#VALUE!</v>
      </c>
      <c r="C88" s="222"/>
      <c r="E88" s="217"/>
      <c r="F88" s="217"/>
    </row>
    <row r="89" spans="1:6" s="220" customFormat="1" ht="12.75">
      <c r="B89" s="231"/>
      <c r="C89" s="222"/>
      <c r="E89" s="217"/>
      <c r="F89" s="217"/>
    </row>
    <row r="90" spans="1:6" s="220" customFormat="1" ht="12.75">
      <c r="B90" s="231"/>
      <c r="C90" s="222"/>
      <c r="E90" s="217"/>
      <c r="F90" s="217"/>
    </row>
    <row r="91" spans="1:6" s="220" customFormat="1" ht="15.75">
      <c r="A91" s="244" t="s">
        <v>1644</v>
      </c>
      <c r="B91" s="227"/>
      <c r="C91" s="228"/>
      <c r="D91" s="226"/>
      <c r="E91" s="217"/>
      <c r="F91" s="217"/>
    </row>
    <row r="92" spans="1:6" s="220" customFormat="1" ht="12.75">
      <c r="A92" s="220" t="s">
        <v>1640</v>
      </c>
      <c r="B92" s="451">
        <f>'Rezept+Protokoll'!D53</f>
        <v>19.1655552</v>
      </c>
      <c r="C92" s="222"/>
      <c r="E92" s="217"/>
      <c r="F92" s="217"/>
    </row>
    <row r="93" spans="1:6" s="220" customFormat="1" ht="12.75">
      <c r="A93" s="220" t="s">
        <v>1643</v>
      </c>
      <c r="B93" s="450">
        <f>'Rezept+Protokoll'!D58</f>
        <v>0</v>
      </c>
      <c r="C93" s="222"/>
      <c r="E93" s="217"/>
      <c r="F93" s="217"/>
    </row>
    <row r="94" spans="1:6" s="220" customFormat="1" ht="12.75">
      <c r="A94" s="226" t="s">
        <v>182</v>
      </c>
      <c r="B94" s="449" t="str">
        <f>C35</f>
        <v/>
      </c>
      <c r="C94" s="228"/>
      <c r="D94" s="226"/>
      <c r="E94" s="217"/>
      <c r="F94" s="217"/>
    </row>
    <row r="95" spans="1:6" s="220" customFormat="1" ht="12.75">
      <c r="A95" s="220" t="s">
        <v>195</v>
      </c>
      <c r="B95" s="241" t="e">
        <f>B92*B93/B94</f>
        <v>#VALUE!</v>
      </c>
      <c r="C95" s="222"/>
      <c r="E95" s="217"/>
      <c r="F95" s="217"/>
    </row>
    <row r="96" spans="1:6" s="220" customFormat="1" ht="12.75">
      <c r="B96" s="231"/>
      <c r="C96" s="222"/>
      <c r="E96" s="217"/>
      <c r="F96" s="217"/>
    </row>
    <row r="97" spans="1:6" s="220" customFormat="1" ht="12.75">
      <c r="B97" s="231"/>
      <c r="C97" s="222"/>
      <c r="E97" s="217"/>
      <c r="F97" s="217"/>
    </row>
    <row r="98" spans="1:6" s="220" customFormat="1" ht="12.75">
      <c r="B98" s="231"/>
      <c r="C98" s="222"/>
      <c r="E98" s="217"/>
      <c r="F98" s="217"/>
    </row>
    <row r="99" spans="1:6" s="220" customFormat="1" ht="12.75">
      <c r="B99" s="231"/>
      <c r="C99" s="222"/>
      <c r="E99" s="217"/>
      <c r="F99" s="217"/>
    </row>
    <row r="100" spans="1:6" s="220" customFormat="1" ht="12.75">
      <c r="B100" s="231"/>
      <c r="C100" s="222"/>
      <c r="E100" s="217"/>
      <c r="F100" s="217"/>
    </row>
    <row r="101" spans="1:6" s="220" customFormat="1" ht="12.75">
      <c r="B101" s="231"/>
      <c r="C101" s="222"/>
      <c r="E101" s="217"/>
      <c r="F101" s="217"/>
    </row>
    <row r="102" spans="1:6" s="220" customFormat="1" ht="12.75">
      <c r="B102" s="231"/>
      <c r="C102" s="222"/>
      <c r="E102" s="217"/>
      <c r="F102" s="217"/>
    </row>
    <row r="103" spans="1:6" s="220" customFormat="1" ht="12.75">
      <c r="B103" s="231"/>
      <c r="C103" s="222"/>
      <c r="E103" s="217"/>
      <c r="F103" s="217"/>
    </row>
    <row r="104" spans="1:6" s="220" customFormat="1" ht="15.75">
      <c r="A104" s="245" t="s">
        <v>1639</v>
      </c>
      <c r="B104" s="227"/>
      <c r="C104" s="228"/>
      <c r="D104" s="226"/>
      <c r="E104" s="217"/>
      <c r="F104" s="217"/>
    </row>
    <row r="105" spans="1:6" s="220" customFormat="1" ht="12.75">
      <c r="A105" s="220" t="s">
        <v>1631</v>
      </c>
      <c r="B105" s="231">
        <v>1.046</v>
      </c>
      <c r="C105" s="222"/>
      <c r="D105" s="220" t="s">
        <v>1634</v>
      </c>
      <c r="E105" s="217"/>
      <c r="F105" s="217"/>
    </row>
    <row r="106" spans="1:6" s="220" customFormat="1" ht="12.75">
      <c r="A106" s="220" t="s">
        <v>1632</v>
      </c>
      <c r="B106" s="231">
        <v>1.048</v>
      </c>
      <c r="C106" s="222"/>
      <c r="D106" s="220" t="s">
        <v>1637</v>
      </c>
      <c r="E106" s="217"/>
      <c r="F106" s="217"/>
    </row>
    <row r="107" spans="1:6" s="220" customFormat="1" ht="12.75">
      <c r="A107" s="220" t="s">
        <v>1636</v>
      </c>
      <c r="B107" s="231">
        <v>48</v>
      </c>
      <c r="C107" s="222"/>
      <c r="D107" s="220" t="s">
        <v>1635</v>
      </c>
      <c r="E107" s="217"/>
      <c r="F107" s="217"/>
    </row>
    <row r="108" spans="1:6" s="220" customFormat="1" ht="12.75">
      <c r="A108" s="220" t="s">
        <v>1633</v>
      </c>
      <c r="B108" s="231">
        <v>12</v>
      </c>
      <c r="C108" s="222"/>
      <c r="D108" s="220" t="s">
        <v>1638</v>
      </c>
      <c r="E108" s="217"/>
      <c r="F108" s="217"/>
    </row>
    <row r="109" spans="1:6" s="220" customFormat="1" ht="12.75">
      <c r="B109" s="231"/>
      <c r="C109" s="222"/>
      <c r="E109" s="217"/>
      <c r="F109" s="217"/>
    </row>
    <row r="110" spans="1:6" s="220" customFormat="1" ht="12.75">
      <c r="B110" s="231"/>
      <c r="C110" s="222"/>
      <c r="E110" s="217"/>
      <c r="F110" s="217"/>
    </row>
    <row r="111" spans="1:6" s="220" customFormat="1" ht="12.75">
      <c r="B111" s="231"/>
      <c r="C111" s="222"/>
      <c r="E111" s="217"/>
      <c r="F111" s="217"/>
    </row>
    <row r="112" spans="1:6" s="220" customFormat="1" ht="12.75">
      <c r="B112" s="231"/>
      <c r="C112" s="222"/>
      <c r="E112" s="217"/>
      <c r="F112" s="217"/>
    </row>
    <row r="113" spans="2:6" s="220" customFormat="1" ht="12.75">
      <c r="B113" s="231"/>
      <c r="C113" s="222"/>
      <c r="E113" s="217"/>
      <c r="F113" s="217"/>
    </row>
    <row r="114" spans="2:6" s="220" customFormat="1" ht="12.75">
      <c r="B114" s="231"/>
      <c r="C114" s="222"/>
      <c r="E114" s="217"/>
      <c r="F114" s="217"/>
    </row>
    <row r="115" spans="2:6" s="220" customFormat="1" ht="12.75">
      <c r="B115" s="231"/>
      <c r="C115" s="222"/>
    </row>
    <row r="116" spans="2:6" s="220" customFormat="1" ht="12.75">
      <c r="B116" s="231"/>
      <c r="C116" s="222"/>
    </row>
    <row r="117" spans="2:6" s="220" customFormat="1" ht="12.75">
      <c r="B117" s="231"/>
      <c r="C117" s="222"/>
    </row>
    <row r="118" spans="2:6" s="220" customFormat="1" ht="12.75">
      <c r="B118" s="231"/>
      <c r="C118" s="222"/>
    </row>
    <row r="119" spans="2:6" s="220" customFormat="1" ht="12.75">
      <c r="B119" s="231"/>
      <c r="C119" s="222"/>
    </row>
    <row r="120" spans="2:6" s="220" customFormat="1" ht="12.75">
      <c r="B120" s="231"/>
      <c r="C120" s="222"/>
    </row>
    <row r="121" spans="2:6" s="220" customFormat="1" ht="12.75">
      <c r="B121" s="231"/>
      <c r="C121" s="222"/>
    </row>
    <row r="122" spans="2:6" s="220" customFormat="1" ht="12.75">
      <c r="B122" s="231"/>
      <c r="C122" s="222"/>
    </row>
    <row r="123" spans="2:6" s="220" customFormat="1" ht="12.75">
      <c r="B123" s="231"/>
      <c r="C123" s="222"/>
    </row>
    <row r="124" spans="2:6" s="220" customFormat="1" ht="12.75">
      <c r="B124" s="231"/>
      <c r="C124" s="222"/>
    </row>
    <row r="125" spans="2:6" s="220" customFormat="1" ht="12.75">
      <c r="B125" s="231"/>
      <c r="C125" s="222"/>
    </row>
    <row r="126" spans="2:6" s="220" customFormat="1" ht="12.75">
      <c r="B126" s="231"/>
      <c r="C126" s="222"/>
    </row>
    <row r="127" spans="2:6" s="220" customFormat="1" ht="12.75">
      <c r="B127" s="231"/>
      <c r="C127" s="222"/>
    </row>
    <row r="128" spans="2:6" s="220" customFormat="1" ht="12.75">
      <c r="B128" s="231"/>
      <c r="C128" s="222"/>
    </row>
    <row r="129" spans="2:3" s="220" customFormat="1" ht="12.75">
      <c r="B129" s="231"/>
      <c r="C129" s="222"/>
    </row>
    <row r="130" spans="2:3" s="220" customFormat="1" ht="12.75">
      <c r="B130" s="231"/>
      <c r="C130" s="222"/>
    </row>
    <row r="131" spans="2:3" s="220" customFormat="1" ht="12.75">
      <c r="B131" s="231"/>
      <c r="C131" s="222"/>
    </row>
    <row r="132" spans="2:3" s="220" customFormat="1" ht="12.75">
      <c r="B132" s="231"/>
      <c r="C132" s="222"/>
    </row>
    <row r="133" spans="2:3" s="220" customFormat="1" ht="12.75">
      <c r="B133" s="231"/>
      <c r="C133" s="222"/>
    </row>
  </sheetData>
  <sheetProtection password="C719" sheet="1" objects="1" scenarios="1"/>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51" r:id="rId4" name="Drop Down 7">
              <controlPr defaultSize="0" autoLine="0" autoPict="0">
                <anchor moveWithCells="1">
                  <from>
                    <xdr:col>1</xdr:col>
                    <xdr:colOff>142875</xdr:colOff>
                    <xdr:row>60</xdr:row>
                    <xdr:rowOff>9525</xdr:rowOff>
                  </from>
                  <to>
                    <xdr:col>2</xdr:col>
                    <xdr:colOff>76200</xdr:colOff>
                    <xdr:row>61</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31"/>
  <dimension ref="A1:AC200"/>
  <sheetViews>
    <sheetView showGridLines="0" zoomScale="85" zoomScaleNormal="85" workbookViewId="0">
      <selection activeCell="R26" sqref="R26"/>
    </sheetView>
  </sheetViews>
  <sheetFormatPr baseColWidth="10" defaultColWidth="11.42578125" defaultRowHeight="12.75"/>
  <cols>
    <col min="1" max="22" width="8.5703125" style="1" customWidth="1"/>
    <col min="23" max="24" width="10.85546875" style="1" customWidth="1"/>
    <col min="25" max="25" width="6.5703125" style="1" customWidth="1"/>
    <col min="26" max="26" width="15" style="1" customWidth="1"/>
    <col min="27" max="36" width="6.5703125" style="1" customWidth="1"/>
    <col min="37" max="16384" width="11.42578125" style="1"/>
  </cols>
  <sheetData>
    <row r="1" spans="1:13" ht="18" customHeight="1">
      <c r="A1" s="4" t="s">
        <v>1594</v>
      </c>
    </row>
    <row r="2" spans="1:13" ht="18" customHeight="1"/>
    <row r="3" spans="1:13" ht="18" customHeight="1">
      <c r="A3" s="5" t="s">
        <v>56</v>
      </c>
    </row>
    <row r="4" spans="1:13">
      <c r="A4" s="17"/>
      <c r="B4" s="17"/>
      <c r="C4" s="17"/>
      <c r="D4" s="17"/>
      <c r="E4" s="17"/>
      <c r="F4" s="17"/>
      <c r="G4" s="17"/>
      <c r="H4" s="17"/>
      <c r="I4" s="17"/>
      <c r="J4" s="17"/>
      <c r="K4" s="17"/>
      <c r="L4" s="17"/>
      <c r="M4" s="17"/>
    </row>
    <row r="5" spans="1:13" ht="38.25">
      <c r="A5" s="18" t="s">
        <v>54</v>
      </c>
      <c r="B5" s="19" t="s">
        <v>55</v>
      </c>
      <c r="C5" s="20"/>
      <c r="D5" s="20"/>
      <c r="E5" s="20"/>
      <c r="F5" s="20"/>
      <c r="G5" s="20"/>
      <c r="H5" s="20"/>
      <c r="I5" s="20"/>
      <c r="J5" s="20"/>
      <c r="K5" s="20"/>
      <c r="L5" s="20"/>
      <c r="M5" s="20"/>
    </row>
    <row r="6" spans="1:13">
      <c r="A6" s="21"/>
      <c r="B6" s="22">
        <v>9</v>
      </c>
      <c r="C6" s="22">
        <v>10</v>
      </c>
      <c r="D6" s="22">
        <v>11</v>
      </c>
      <c r="E6" s="22">
        <v>12</v>
      </c>
      <c r="F6" s="22">
        <v>13</v>
      </c>
      <c r="G6" s="22">
        <v>14</v>
      </c>
      <c r="H6" s="22">
        <v>15</v>
      </c>
      <c r="I6" s="22">
        <v>16</v>
      </c>
      <c r="J6" s="22">
        <v>17</v>
      </c>
      <c r="K6" s="22">
        <v>18</v>
      </c>
      <c r="L6" s="22">
        <v>19</v>
      </c>
      <c r="M6" s="23">
        <v>20</v>
      </c>
    </row>
    <row r="7" spans="1:13">
      <c r="A7" s="21">
        <v>1</v>
      </c>
      <c r="B7" s="24">
        <f t="shared" ref="B7:M10" si="0">B8-0.3</f>
        <v>4.2000000579999863</v>
      </c>
      <c r="C7" s="24">
        <f>C8-0.3</f>
        <v>4.100000000400005</v>
      </c>
      <c r="D7" s="24">
        <f t="shared" si="0"/>
        <v>4.0000100000000014</v>
      </c>
      <c r="E7" s="24">
        <f t="shared" si="0"/>
        <v>3.9000000084999948</v>
      </c>
      <c r="F7" s="24">
        <f t="shared" si="0"/>
        <v>3.8000000040000161</v>
      </c>
      <c r="G7" s="24">
        <f t="shared" si="0"/>
        <v>3.7000000000000135</v>
      </c>
      <c r="H7" s="24">
        <f t="shared" si="0"/>
        <v>3.6000000800000187</v>
      </c>
      <c r="I7" s="24">
        <f t="shared" si="0"/>
        <v>3.5000000079999829</v>
      </c>
      <c r="J7" s="24">
        <f t="shared" si="0"/>
        <v>3.4000000079999868</v>
      </c>
      <c r="K7" s="24">
        <f t="shared" si="0"/>
        <v>3.3000000799999967</v>
      </c>
      <c r="L7" s="24">
        <f t="shared" si="0"/>
        <v>3.2000000800000077</v>
      </c>
      <c r="M7" s="25">
        <f t="shared" si="0"/>
        <v>3.1000000080000083</v>
      </c>
    </row>
    <row r="8" spans="1:13">
      <c r="A8" s="21">
        <v>2</v>
      </c>
      <c r="B8" s="24">
        <f t="shared" si="0"/>
        <v>4.5000000579999861</v>
      </c>
      <c r="C8" s="24">
        <f>C9-0.3</f>
        <v>4.4000000004000048</v>
      </c>
      <c r="D8" s="24">
        <f t="shared" si="0"/>
        <v>4.3000100000000012</v>
      </c>
      <c r="E8" s="24">
        <f t="shared" si="0"/>
        <v>4.2000000084999947</v>
      </c>
      <c r="F8" s="24">
        <f t="shared" si="0"/>
        <v>4.100000004000016</v>
      </c>
      <c r="G8" s="24">
        <f t="shared" si="0"/>
        <v>4.0000000000000133</v>
      </c>
      <c r="H8" s="24">
        <f t="shared" si="0"/>
        <v>3.9000000800000185</v>
      </c>
      <c r="I8" s="24">
        <f t="shared" si="0"/>
        <v>3.8000000079999827</v>
      </c>
      <c r="J8" s="24">
        <f t="shared" si="0"/>
        <v>3.7000000079999866</v>
      </c>
      <c r="K8" s="24">
        <f t="shared" si="0"/>
        <v>3.6000000799999965</v>
      </c>
      <c r="L8" s="24">
        <f t="shared" si="0"/>
        <v>3.5000000800000075</v>
      </c>
      <c r="M8" s="25">
        <f t="shared" si="0"/>
        <v>3.4000000080000081</v>
      </c>
    </row>
    <row r="9" spans="1:13">
      <c r="A9" s="21">
        <v>3</v>
      </c>
      <c r="B9" s="24">
        <f t="shared" si="0"/>
        <v>4.800000057999986</v>
      </c>
      <c r="C9" s="24">
        <f>C10-0.3</f>
        <v>4.7000000004000047</v>
      </c>
      <c r="D9" s="24">
        <f t="shared" si="0"/>
        <v>4.600010000000001</v>
      </c>
      <c r="E9" s="24">
        <f t="shared" si="0"/>
        <v>4.5000000084999945</v>
      </c>
      <c r="F9" s="24">
        <f t="shared" si="0"/>
        <v>4.4000000040000158</v>
      </c>
      <c r="G9" s="24">
        <f t="shared" si="0"/>
        <v>4.3000000000000131</v>
      </c>
      <c r="H9" s="24">
        <f t="shared" si="0"/>
        <v>4.2000000800000183</v>
      </c>
      <c r="I9" s="24">
        <f t="shared" si="0"/>
        <v>4.1000000079999825</v>
      </c>
      <c r="J9" s="24">
        <f t="shared" si="0"/>
        <v>4.0000000079999865</v>
      </c>
      <c r="K9" s="24">
        <f t="shared" si="0"/>
        <v>3.9000000799999963</v>
      </c>
      <c r="L9" s="24">
        <f t="shared" si="0"/>
        <v>3.8000000800000073</v>
      </c>
      <c r="M9" s="25">
        <f t="shared" si="0"/>
        <v>3.7000000080000079</v>
      </c>
    </row>
    <row r="10" spans="1:13">
      <c r="A10" s="21">
        <v>4</v>
      </c>
      <c r="B10" s="24">
        <f t="shared" si="0"/>
        <v>5.1000000579999858</v>
      </c>
      <c r="C10" s="24">
        <f>C11-0.3</f>
        <v>5.0000000004000045</v>
      </c>
      <c r="D10" s="24">
        <f t="shared" si="0"/>
        <v>4.9000100000000009</v>
      </c>
      <c r="E10" s="24">
        <f t="shared" si="0"/>
        <v>4.8000000084999943</v>
      </c>
      <c r="F10" s="24">
        <f t="shared" si="0"/>
        <v>4.7000000040000156</v>
      </c>
      <c r="G10" s="24">
        <f t="shared" si="0"/>
        <v>4.600000000000013</v>
      </c>
      <c r="H10" s="24">
        <f t="shared" si="0"/>
        <v>4.5000000800000182</v>
      </c>
      <c r="I10" s="24">
        <f t="shared" si="0"/>
        <v>4.4000000079999824</v>
      </c>
      <c r="J10" s="24">
        <f t="shared" si="0"/>
        <v>4.3000000079999863</v>
      </c>
      <c r="K10" s="24">
        <f t="shared" si="0"/>
        <v>4.2000000799999961</v>
      </c>
      <c r="L10" s="24">
        <f t="shared" si="0"/>
        <v>4.1000000800000072</v>
      </c>
      <c r="M10" s="25">
        <f t="shared" si="0"/>
        <v>4.0000000080000078</v>
      </c>
    </row>
    <row r="11" spans="1:13">
      <c r="A11" s="21">
        <v>5</v>
      </c>
      <c r="B11" s="24">
        <f t="shared" ref="B11:B20" si="1">B12-0.79</f>
        <v>5.4000000579999856</v>
      </c>
      <c r="C11" s="24">
        <f t="shared" ref="C11:C20" si="2">C12-0.76</f>
        <v>5.3000000004000043</v>
      </c>
      <c r="D11" s="24">
        <f t="shared" ref="D11:D20" si="3">D12-0.74</f>
        <v>5.2000100000000007</v>
      </c>
      <c r="E11" s="24">
        <f t="shared" ref="E11:E20" si="4">E12-0.72</f>
        <v>5.1000000084999941</v>
      </c>
      <c r="F11" s="26">
        <f t="shared" ref="F11:F20" si="5">F12-0.7</f>
        <v>5.0000000040000154</v>
      </c>
      <c r="G11" s="24">
        <f t="shared" ref="G11:G19" si="6">G12-0.68</f>
        <v>4.9000000000000128</v>
      </c>
      <c r="H11" s="26">
        <f t="shared" ref="H11:H19" si="7">H12-0.66</f>
        <v>4.800000080000018</v>
      </c>
      <c r="I11" s="24">
        <f t="shared" ref="I11:I19" si="8">I12-0.65</f>
        <v>4.7000000079999822</v>
      </c>
      <c r="J11" s="24">
        <f t="shared" ref="J11:J19" si="9">J12-0.64</f>
        <v>4.6000000079999861</v>
      </c>
      <c r="K11" s="24">
        <f t="shared" ref="K11:K19" si="10">K12-0.63</f>
        <v>4.500000079999996</v>
      </c>
      <c r="L11" s="24">
        <f t="shared" ref="L11:L19" si="11">L12-0.62</f>
        <v>4.400000080000007</v>
      </c>
      <c r="M11" s="27">
        <f t="shared" ref="M11:M19" si="12">M12-0.61</f>
        <v>4.3000000080000076</v>
      </c>
    </row>
    <row r="12" spans="1:13">
      <c r="A12" s="21">
        <v>6</v>
      </c>
      <c r="B12" s="24">
        <f t="shared" si="1"/>
        <v>6.1900000579999856</v>
      </c>
      <c r="C12" s="24">
        <f t="shared" si="2"/>
        <v>6.0600000004000041</v>
      </c>
      <c r="D12" s="24">
        <f t="shared" si="3"/>
        <v>5.9400100000000009</v>
      </c>
      <c r="E12" s="24">
        <f t="shared" si="4"/>
        <v>5.8200000084999939</v>
      </c>
      <c r="F12" s="24">
        <f t="shared" si="5"/>
        <v>5.7000000040000156</v>
      </c>
      <c r="G12" s="24">
        <f t="shared" si="6"/>
        <v>5.5800000000000125</v>
      </c>
      <c r="H12" s="24">
        <f t="shared" si="7"/>
        <v>5.4600000800000181</v>
      </c>
      <c r="I12" s="24">
        <f t="shared" si="8"/>
        <v>5.3500000079999825</v>
      </c>
      <c r="J12" s="24">
        <f t="shared" si="9"/>
        <v>5.2400000079999858</v>
      </c>
      <c r="K12" s="24">
        <f t="shared" si="10"/>
        <v>5.1300000799999959</v>
      </c>
      <c r="L12" s="24">
        <f t="shared" si="11"/>
        <v>5.0200000800000071</v>
      </c>
      <c r="M12" s="25">
        <f t="shared" si="12"/>
        <v>4.9100000080000079</v>
      </c>
    </row>
    <row r="13" spans="1:13">
      <c r="A13" s="21">
        <v>7</v>
      </c>
      <c r="B13" s="24">
        <f t="shared" si="1"/>
        <v>6.9800000579999857</v>
      </c>
      <c r="C13" s="24">
        <f t="shared" si="2"/>
        <v>6.8200000004000039</v>
      </c>
      <c r="D13" s="24">
        <f t="shared" si="3"/>
        <v>6.6800100000000011</v>
      </c>
      <c r="E13" s="24">
        <f t="shared" si="4"/>
        <v>6.5400000084999936</v>
      </c>
      <c r="F13" s="24">
        <f t="shared" si="5"/>
        <v>6.4000000040000158</v>
      </c>
      <c r="G13" s="24">
        <f t="shared" si="6"/>
        <v>6.2600000000000122</v>
      </c>
      <c r="H13" s="24">
        <f t="shared" si="7"/>
        <v>6.1200000800000183</v>
      </c>
      <c r="I13" s="24">
        <f t="shared" si="8"/>
        <v>6.0000000079999829</v>
      </c>
      <c r="J13" s="24">
        <f t="shared" si="9"/>
        <v>5.8800000079999855</v>
      </c>
      <c r="K13" s="24">
        <f t="shared" si="10"/>
        <v>5.7600000799999957</v>
      </c>
      <c r="L13" s="24">
        <f t="shared" si="11"/>
        <v>5.6400000800000072</v>
      </c>
      <c r="M13" s="25">
        <f t="shared" si="12"/>
        <v>5.5200000080000082</v>
      </c>
    </row>
    <row r="14" spans="1:13">
      <c r="A14" s="21">
        <v>8</v>
      </c>
      <c r="B14" s="24">
        <f t="shared" si="1"/>
        <v>7.7700000579999857</v>
      </c>
      <c r="C14" s="24">
        <f t="shared" si="2"/>
        <v>7.5800000004000037</v>
      </c>
      <c r="D14" s="24">
        <f t="shared" si="3"/>
        <v>7.4200100000000013</v>
      </c>
      <c r="E14" s="24">
        <f t="shared" si="4"/>
        <v>7.2600000084999934</v>
      </c>
      <c r="F14" s="24">
        <f t="shared" si="5"/>
        <v>7.100000004000016</v>
      </c>
      <c r="G14" s="24">
        <f t="shared" si="6"/>
        <v>6.9400000000000119</v>
      </c>
      <c r="H14" s="24">
        <f t="shared" si="7"/>
        <v>6.7800000800000184</v>
      </c>
      <c r="I14" s="24">
        <f t="shared" si="8"/>
        <v>6.6500000079999833</v>
      </c>
      <c r="J14" s="24">
        <f t="shared" si="9"/>
        <v>6.5200000079999851</v>
      </c>
      <c r="K14" s="24">
        <f t="shared" si="10"/>
        <v>6.3900000799999956</v>
      </c>
      <c r="L14" s="24">
        <f t="shared" si="11"/>
        <v>6.2600000800000073</v>
      </c>
      <c r="M14" s="25">
        <f t="shared" si="12"/>
        <v>6.1300000080000085</v>
      </c>
    </row>
    <row r="15" spans="1:13">
      <c r="A15" s="21">
        <v>9</v>
      </c>
      <c r="B15" s="24">
        <f t="shared" si="1"/>
        <v>8.5600000579999858</v>
      </c>
      <c r="C15" s="24">
        <f t="shared" si="2"/>
        <v>8.3400000004000034</v>
      </c>
      <c r="D15" s="24">
        <f t="shared" si="3"/>
        <v>8.1600100000000015</v>
      </c>
      <c r="E15" s="24">
        <f t="shared" si="4"/>
        <v>7.9800000084999931</v>
      </c>
      <c r="F15" s="24">
        <f t="shared" si="5"/>
        <v>7.8000000040000161</v>
      </c>
      <c r="G15" s="24">
        <f t="shared" si="6"/>
        <v>7.6200000000000117</v>
      </c>
      <c r="H15" s="24">
        <f t="shared" si="7"/>
        <v>7.4400000800000186</v>
      </c>
      <c r="I15" s="24">
        <f t="shared" si="8"/>
        <v>7.3000000079999836</v>
      </c>
      <c r="J15" s="24">
        <f t="shared" si="9"/>
        <v>7.1600000079999848</v>
      </c>
      <c r="K15" s="24">
        <f t="shared" si="10"/>
        <v>7.0200000799999955</v>
      </c>
      <c r="L15" s="24">
        <f t="shared" si="11"/>
        <v>6.8800000800000074</v>
      </c>
      <c r="M15" s="25">
        <f t="shared" si="12"/>
        <v>6.7400000080000089</v>
      </c>
    </row>
    <row r="16" spans="1:13">
      <c r="A16" s="21">
        <v>10</v>
      </c>
      <c r="B16" s="24">
        <f t="shared" si="1"/>
        <v>9.3500000579999849</v>
      </c>
      <c r="C16" s="24">
        <f t="shared" si="2"/>
        <v>9.1000000004000032</v>
      </c>
      <c r="D16" s="24">
        <f t="shared" si="3"/>
        <v>8.9000100000000018</v>
      </c>
      <c r="E16" s="24">
        <f t="shared" si="4"/>
        <v>8.7000000084999929</v>
      </c>
      <c r="F16" s="24">
        <f t="shared" si="5"/>
        <v>8.5000000040000163</v>
      </c>
      <c r="G16" s="24">
        <f t="shared" si="6"/>
        <v>8.3000000000000114</v>
      </c>
      <c r="H16" s="24">
        <f t="shared" si="7"/>
        <v>8.1000000800000187</v>
      </c>
      <c r="I16" s="24">
        <f t="shared" si="8"/>
        <v>7.950000007999984</v>
      </c>
      <c r="J16" s="24">
        <f t="shared" si="9"/>
        <v>7.8000000079999845</v>
      </c>
      <c r="K16" s="24">
        <f t="shared" si="10"/>
        <v>7.6500000799999954</v>
      </c>
      <c r="L16" s="24">
        <f t="shared" si="11"/>
        <v>7.5000000800000075</v>
      </c>
      <c r="M16" s="25">
        <f t="shared" si="12"/>
        <v>7.3500000080000092</v>
      </c>
    </row>
    <row r="17" spans="1:29">
      <c r="A17" s="21">
        <v>11</v>
      </c>
      <c r="B17" s="24">
        <f t="shared" si="1"/>
        <v>10.140000057999984</v>
      </c>
      <c r="C17" s="24">
        <f t="shared" si="2"/>
        <v>9.860000000400003</v>
      </c>
      <c r="D17" s="24">
        <f t="shared" si="3"/>
        <v>9.640010000000002</v>
      </c>
      <c r="E17" s="24">
        <f t="shared" si="4"/>
        <v>9.4200000084999935</v>
      </c>
      <c r="F17" s="24">
        <f t="shared" si="5"/>
        <v>9.2000000040000156</v>
      </c>
      <c r="G17" s="24">
        <f t="shared" si="6"/>
        <v>8.9800000000000111</v>
      </c>
      <c r="H17" s="24">
        <f t="shared" si="7"/>
        <v>8.7600000800000188</v>
      </c>
      <c r="I17" s="24">
        <f t="shared" si="8"/>
        <v>8.6000000079999843</v>
      </c>
      <c r="J17" s="24">
        <f t="shared" si="9"/>
        <v>8.4400000079999842</v>
      </c>
      <c r="K17" s="24">
        <f t="shared" si="10"/>
        <v>8.2800000799999953</v>
      </c>
      <c r="L17" s="24">
        <f t="shared" si="11"/>
        <v>8.1200000800000076</v>
      </c>
      <c r="M17" s="25">
        <f t="shared" si="12"/>
        <v>7.9600000080000095</v>
      </c>
    </row>
    <row r="18" spans="1:29">
      <c r="A18" s="21">
        <v>12</v>
      </c>
      <c r="B18" s="24">
        <f t="shared" si="1"/>
        <v>10.930000057999983</v>
      </c>
      <c r="C18" s="24">
        <f t="shared" si="2"/>
        <v>10.620000000400003</v>
      </c>
      <c r="D18" s="24">
        <f t="shared" si="3"/>
        <v>10.380010000000002</v>
      </c>
      <c r="E18" s="24">
        <f t="shared" si="4"/>
        <v>10.140000008499994</v>
      </c>
      <c r="F18" s="24">
        <f t="shared" si="5"/>
        <v>9.9000000040000149</v>
      </c>
      <c r="G18" s="24">
        <f t="shared" si="6"/>
        <v>9.6600000000000108</v>
      </c>
      <c r="H18" s="24">
        <f t="shared" si="7"/>
        <v>9.420000080000019</v>
      </c>
      <c r="I18" s="24">
        <f t="shared" si="8"/>
        <v>9.2500000079999847</v>
      </c>
      <c r="J18" s="24">
        <f t="shared" si="9"/>
        <v>9.0800000079999847</v>
      </c>
      <c r="K18" s="24">
        <f t="shared" si="10"/>
        <v>8.9100000799999961</v>
      </c>
      <c r="L18" s="24">
        <f t="shared" si="11"/>
        <v>8.7400000800000068</v>
      </c>
      <c r="M18" s="25">
        <f t="shared" si="12"/>
        <v>8.5700000080000098</v>
      </c>
    </row>
    <row r="19" spans="1:29">
      <c r="A19" s="21">
        <v>13</v>
      </c>
      <c r="B19" s="24">
        <f t="shared" si="1"/>
        <v>11.720000057999982</v>
      </c>
      <c r="C19" s="24">
        <f t="shared" si="2"/>
        <v>11.380000000400003</v>
      </c>
      <c r="D19" s="24">
        <f t="shared" si="3"/>
        <v>11.120010000000002</v>
      </c>
      <c r="E19" s="24">
        <f t="shared" si="4"/>
        <v>10.860000008499995</v>
      </c>
      <c r="F19" s="24">
        <f t="shared" si="5"/>
        <v>10.600000004000014</v>
      </c>
      <c r="G19" s="24">
        <f t="shared" si="6"/>
        <v>10.340000000000011</v>
      </c>
      <c r="H19" s="24">
        <f t="shared" si="7"/>
        <v>10.080000080000019</v>
      </c>
      <c r="I19" s="24">
        <f t="shared" si="8"/>
        <v>9.900000007999985</v>
      </c>
      <c r="J19" s="24">
        <f t="shared" si="9"/>
        <v>9.7200000079999853</v>
      </c>
      <c r="K19" s="24">
        <f t="shared" si="10"/>
        <v>9.5400000799999969</v>
      </c>
      <c r="L19" s="24">
        <f t="shared" si="11"/>
        <v>9.3600000800000061</v>
      </c>
      <c r="M19" s="25">
        <f t="shared" si="12"/>
        <v>9.1800000080000093</v>
      </c>
    </row>
    <row r="20" spans="1:29">
      <c r="A20" s="21">
        <v>14</v>
      </c>
      <c r="B20" s="24">
        <f t="shared" si="1"/>
        <v>12.510000057999981</v>
      </c>
      <c r="C20" s="24">
        <f t="shared" si="2"/>
        <v>12.140000000400002</v>
      </c>
      <c r="D20" s="24">
        <f t="shared" si="3"/>
        <v>11.860010000000003</v>
      </c>
      <c r="E20" s="24">
        <f t="shared" si="4"/>
        <v>11.580000008499995</v>
      </c>
      <c r="F20" s="24">
        <f t="shared" si="5"/>
        <v>11.300000004000013</v>
      </c>
      <c r="G20" s="24">
        <f>G21-0.68</f>
        <v>11.02000000000001</v>
      </c>
      <c r="H20" s="24">
        <f>H21-0.66</f>
        <v>10.740000080000019</v>
      </c>
      <c r="I20" s="24">
        <f>I21-0.65</f>
        <v>10.550000007999985</v>
      </c>
      <c r="J20" s="24">
        <f>J21-0.64</f>
        <v>10.360000007999986</v>
      </c>
      <c r="K20" s="24">
        <f>K21-0.63</f>
        <v>10.170000079999998</v>
      </c>
      <c r="L20" s="24">
        <f>L21-0.62</f>
        <v>9.9800000800000053</v>
      </c>
      <c r="M20" s="25">
        <f>M21-0.61</f>
        <v>9.7900000080000087</v>
      </c>
    </row>
    <row r="21" spans="1:29">
      <c r="A21" s="21">
        <v>15</v>
      </c>
      <c r="B21" s="24">
        <f t="shared" ref="B21:B30" si="13">B22-0.315</f>
        <v>13.300000057999982</v>
      </c>
      <c r="C21" s="24">
        <f t="shared" ref="C21:C30" si="14">C22-0.315</f>
        <v>12.900000000400002</v>
      </c>
      <c r="D21" s="24">
        <f t="shared" ref="D21:D30" si="15">D22-0.31</f>
        <v>12.600010000000003</v>
      </c>
      <c r="E21" s="24">
        <f t="shared" ref="E21:E30" si="16">E22-0.305</f>
        <v>12.300000008499996</v>
      </c>
      <c r="F21" s="26">
        <f t="shared" ref="F21:F30" si="17">F22-0.3</f>
        <v>12.000000004000013</v>
      </c>
      <c r="G21" s="24">
        <f t="shared" ref="G21:G29" si="18">G22-0.295</f>
        <v>11.70000000000001</v>
      </c>
      <c r="H21" s="26">
        <f t="shared" ref="H21:H29" si="19">H22-0.29</f>
        <v>11.400000080000019</v>
      </c>
      <c r="I21" s="24">
        <f t="shared" ref="I21:I29" si="20">I22-0.284</f>
        <v>11.200000007999986</v>
      </c>
      <c r="J21" s="24">
        <f>I21-0.2</f>
        <v>11.000000007999986</v>
      </c>
      <c r="K21" s="24">
        <f t="shared" ref="K21:K29" si="21">K22-0.272</f>
        <v>10.800000079999998</v>
      </c>
      <c r="L21" s="24">
        <f t="shared" ref="L21:L29" si="22">L22-0.266</f>
        <v>10.600000080000004</v>
      </c>
      <c r="M21" s="27">
        <f t="shared" ref="M21:M29" si="23">M22-0.26</f>
        <v>10.400000008000008</v>
      </c>
    </row>
    <row r="22" spans="1:29">
      <c r="A22" s="21">
        <v>16</v>
      </c>
      <c r="B22" s="24">
        <f t="shared" si="13"/>
        <v>13.615000057999982</v>
      </c>
      <c r="C22" s="24">
        <f t="shared" si="14"/>
        <v>13.215000000400002</v>
      </c>
      <c r="D22" s="24">
        <f t="shared" si="15"/>
        <v>12.910010000000003</v>
      </c>
      <c r="E22" s="24">
        <f t="shared" si="16"/>
        <v>12.605000008499996</v>
      </c>
      <c r="F22" s="24">
        <f t="shared" si="17"/>
        <v>12.300000004000013</v>
      </c>
      <c r="G22" s="24">
        <f t="shared" si="18"/>
        <v>11.99500000000001</v>
      </c>
      <c r="H22" s="24">
        <f t="shared" si="19"/>
        <v>11.690000080000019</v>
      </c>
      <c r="I22" s="24">
        <f t="shared" si="20"/>
        <v>11.484000007999986</v>
      </c>
      <c r="J22" s="24">
        <f t="shared" ref="J22:J29" si="24">J23-0.278</f>
        <v>11.27800000079999</v>
      </c>
      <c r="K22" s="24">
        <f t="shared" si="21"/>
        <v>11.072000079999999</v>
      </c>
      <c r="L22" s="24">
        <f t="shared" si="22"/>
        <v>10.866000080000005</v>
      </c>
      <c r="M22" s="25">
        <f t="shared" si="23"/>
        <v>10.660000008000008</v>
      </c>
    </row>
    <row r="23" spans="1:29">
      <c r="A23" s="21">
        <v>17</v>
      </c>
      <c r="B23" s="24">
        <f t="shared" si="13"/>
        <v>13.930000057999981</v>
      </c>
      <c r="C23" s="24">
        <f t="shared" si="14"/>
        <v>13.530000000400001</v>
      </c>
      <c r="D23" s="24">
        <f t="shared" si="15"/>
        <v>13.220010000000004</v>
      </c>
      <c r="E23" s="24">
        <f t="shared" si="16"/>
        <v>12.910000008499996</v>
      </c>
      <c r="F23" s="24">
        <f t="shared" si="17"/>
        <v>12.600000004000014</v>
      </c>
      <c r="G23" s="24">
        <f t="shared" si="18"/>
        <v>12.29000000000001</v>
      </c>
      <c r="H23" s="24">
        <f t="shared" si="19"/>
        <v>11.980000080000018</v>
      </c>
      <c r="I23" s="24">
        <f t="shared" si="20"/>
        <v>11.768000007999987</v>
      </c>
      <c r="J23" s="24">
        <f t="shared" si="24"/>
        <v>11.55600000079999</v>
      </c>
      <c r="K23" s="24">
        <f t="shared" si="21"/>
        <v>11.344000079999999</v>
      </c>
      <c r="L23" s="24">
        <f t="shared" si="22"/>
        <v>11.132000080000005</v>
      </c>
      <c r="M23" s="25">
        <f t="shared" si="23"/>
        <v>10.920000008000008</v>
      </c>
      <c r="U23" s="10"/>
      <c r="V23" s="10"/>
      <c r="W23" s="10"/>
      <c r="X23" s="10"/>
      <c r="Y23" s="10"/>
      <c r="Z23" s="10"/>
      <c r="AA23" s="10"/>
      <c r="AB23" s="10"/>
      <c r="AC23" s="10"/>
    </row>
    <row r="24" spans="1:29">
      <c r="A24" s="21">
        <v>18</v>
      </c>
      <c r="B24" s="24">
        <f t="shared" si="13"/>
        <v>14.245000057999981</v>
      </c>
      <c r="C24" s="24">
        <f t="shared" si="14"/>
        <v>13.845000000400001</v>
      </c>
      <c r="D24" s="24">
        <f t="shared" si="15"/>
        <v>13.530010000000004</v>
      </c>
      <c r="E24" s="24">
        <f t="shared" si="16"/>
        <v>13.215000008499995</v>
      </c>
      <c r="F24" s="24">
        <f t="shared" si="17"/>
        <v>12.900000004000015</v>
      </c>
      <c r="G24" s="24">
        <f t="shared" si="18"/>
        <v>12.58500000000001</v>
      </c>
      <c r="H24" s="24">
        <f t="shared" si="19"/>
        <v>12.270000080000017</v>
      </c>
      <c r="I24" s="24">
        <f t="shared" si="20"/>
        <v>12.052000007999988</v>
      </c>
      <c r="J24" s="24">
        <f t="shared" si="24"/>
        <v>11.834000000799991</v>
      </c>
      <c r="K24" s="24">
        <f t="shared" si="21"/>
        <v>11.616000079999999</v>
      </c>
      <c r="L24" s="24">
        <f t="shared" si="22"/>
        <v>11.398000080000005</v>
      </c>
      <c r="M24" s="25">
        <f t="shared" si="23"/>
        <v>11.180000008000007</v>
      </c>
      <c r="U24" s="10"/>
      <c r="V24" s="10"/>
      <c r="W24" s="10"/>
      <c r="X24" s="10"/>
      <c r="Y24" s="10"/>
      <c r="Z24" s="10"/>
      <c r="AA24" s="10"/>
      <c r="AB24" s="10"/>
      <c r="AC24" s="10"/>
    </row>
    <row r="25" spans="1:29">
      <c r="A25" s="21">
        <v>19</v>
      </c>
      <c r="B25" s="24">
        <f t="shared" si="13"/>
        <v>14.56000005799998</v>
      </c>
      <c r="C25" s="24">
        <f t="shared" si="14"/>
        <v>14.1600000004</v>
      </c>
      <c r="D25" s="24">
        <f t="shared" si="15"/>
        <v>13.840010000000005</v>
      </c>
      <c r="E25" s="24">
        <f t="shared" si="16"/>
        <v>13.520000008499995</v>
      </c>
      <c r="F25" s="24">
        <f t="shared" si="17"/>
        <v>13.200000004000016</v>
      </c>
      <c r="G25" s="24">
        <f t="shared" si="18"/>
        <v>12.88000000000001</v>
      </c>
      <c r="H25" s="24">
        <f t="shared" si="19"/>
        <v>12.560000080000016</v>
      </c>
      <c r="I25" s="24">
        <f t="shared" si="20"/>
        <v>12.336000007999989</v>
      </c>
      <c r="J25" s="24">
        <f t="shared" si="24"/>
        <v>12.112000000799991</v>
      </c>
      <c r="K25" s="24">
        <f t="shared" si="21"/>
        <v>11.888000079999999</v>
      </c>
      <c r="L25" s="24">
        <f t="shared" si="22"/>
        <v>11.664000080000005</v>
      </c>
      <c r="M25" s="25">
        <f t="shared" si="23"/>
        <v>11.440000008000007</v>
      </c>
      <c r="U25" s="10"/>
      <c r="V25" s="10"/>
      <c r="W25" s="10"/>
      <c r="X25" s="10"/>
      <c r="Y25" s="10"/>
      <c r="Z25" s="10"/>
      <c r="AA25" s="10"/>
      <c r="AB25" s="10"/>
      <c r="AC25" s="10"/>
    </row>
    <row r="26" spans="1:29">
      <c r="A26" s="21">
        <v>20</v>
      </c>
      <c r="B26" s="24">
        <f t="shared" si="13"/>
        <v>14.87500005799998</v>
      </c>
      <c r="C26" s="24">
        <f t="shared" si="14"/>
        <v>14.4750000004</v>
      </c>
      <c r="D26" s="24">
        <f t="shared" si="15"/>
        <v>14.150010000000005</v>
      </c>
      <c r="E26" s="24">
        <f t="shared" si="16"/>
        <v>13.825000008499995</v>
      </c>
      <c r="F26" s="24">
        <f t="shared" si="17"/>
        <v>13.500000004000016</v>
      </c>
      <c r="G26" s="24">
        <f t="shared" si="18"/>
        <v>13.17500000000001</v>
      </c>
      <c r="H26" s="24">
        <f t="shared" si="19"/>
        <v>12.850000080000015</v>
      </c>
      <c r="I26" s="24">
        <f t="shared" si="20"/>
        <v>12.620000007999989</v>
      </c>
      <c r="J26" s="24">
        <f t="shared" si="24"/>
        <v>12.390000000799992</v>
      </c>
      <c r="K26" s="24">
        <f t="shared" si="21"/>
        <v>12.16000008</v>
      </c>
      <c r="L26" s="24">
        <f t="shared" si="22"/>
        <v>11.930000080000005</v>
      </c>
      <c r="M26" s="25">
        <f t="shared" si="23"/>
        <v>11.700000008000007</v>
      </c>
      <c r="U26" s="10"/>
      <c r="V26" s="10"/>
      <c r="W26" s="10"/>
      <c r="X26" s="10"/>
      <c r="Y26" s="10"/>
      <c r="Z26" s="10"/>
      <c r="AA26" s="10"/>
      <c r="AB26" s="10"/>
      <c r="AC26" s="10"/>
    </row>
    <row r="27" spans="1:29">
      <c r="A27" s="21">
        <v>21</v>
      </c>
      <c r="B27" s="24">
        <f t="shared" si="13"/>
        <v>15.190000057999979</v>
      </c>
      <c r="C27" s="24">
        <f t="shared" si="14"/>
        <v>14.790000000399999</v>
      </c>
      <c r="D27" s="24">
        <f t="shared" si="15"/>
        <v>14.460010000000006</v>
      </c>
      <c r="E27" s="24">
        <f t="shared" si="16"/>
        <v>14.130000008499994</v>
      </c>
      <c r="F27" s="24">
        <f t="shared" si="17"/>
        <v>13.800000004000017</v>
      </c>
      <c r="G27" s="24">
        <f t="shared" si="18"/>
        <v>13.47000000000001</v>
      </c>
      <c r="H27" s="24">
        <f t="shared" si="19"/>
        <v>13.140000080000014</v>
      </c>
      <c r="I27" s="24">
        <f t="shared" si="20"/>
        <v>12.90400000799999</v>
      </c>
      <c r="J27" s="24">
        <f t="shared" si="24"/>
        <v>12.668000000799992</v>
      </c>
      <c r="K27" s="24">
        <f t="shared" si="21"/>
        <v>12.43200008</v>
      </c>
      <c r="L27" s="24">
        <f t="shared" si="22"/>
        <v>12.196000080000005</v>
      </c>
      <c r="M27" s="25">
        <f t="shared" si="23"/>
        <v>11.960000008000007</v>
      </c>
      <c r="U27" s="10"/>
      <c r="V27" s="10"/>
      <c r="W27" s="10"/>
      <c r="X27" s="10"/>
      <c r="Y27" s="10"/>
      <c r="Z27" s="10"/>
      <c r="AA27" s="10"/>
      <c r="AB27" s="10"/>
      <c r="AC27" s="10"/>
    </row>
    <row r="28" spans="1:29">
      <c r="A28" s="21">
        <v>22</v>
      </c>
      <c r="B28" s="24">
        <f t="shared" si="13"/>
        <v>15.505000057999979</v>
      </c>
      <c r="C28" s="24">
        <f t="shared" si="14"/>
        <v>15.105000000399999</v>
      </c>
      <c r="D28" s="24">
        <f t="shared" si="15"/>
        <v>14.770010000000006</v>
      </c>
      <c r="E28" s="24">
        <f t="shared" si="16"/>
        <v>14.435000008499994</v>
      </c>
      <c r="F28" s="24">
        <f t="shared" si="17"/>
        <v>14.100000004000018</v>
      </c>
      <c r="G28" s="24">
        <f t="shared" si="18"/>
        <v>13.765000000000009</v>
      </c>
      <c r="H28" s="24">
        <f t="shared" si="19"/>
        <v>13.430000080000013</v>
      </c>
      <c r="I28" s="24">
        <f t="shared" si="20"/>
        <v>13.188000007999991</v>
      </c>
      <c r="J28" s="24">
        <f t="shared" si="24"/>
        <v>12.946000000799993</v>
      </c>
      <c r="K28" s="24">
        <f t="shared" si="21"/>
        <v>12.70400008</v>
      </c>
      <c r="L28" s="24">
        <f t="shared" si="22"/>
        <v>12.462000080000005</v>
      </c>
      <c r="M28" s="25">
        <f t="shared" si="23"/>
        <v>12.220000008000007</v>
      </c>
      <c r="U28" s="10"/>
      <c r="V28" s="10"/>
      <c r="W28" s="10"/>
      <c r="X28" s="10"/>
      <c r="Y28" s="10"/>
      <c r="Z28" s="10"/>
      <c r="AA28" s="10"/>
      <c r="AB28" s="10"/>
      <c r="AC28" s="10"/>
    </row>
    <row r="29" spans="1:29">
      <c r="A29" s="21">
        <v>23</v>
      </c>
      <c r="B29" s="24">
        <f t="shared" si="13"/>
        <v>15.820000057999978</v>
      </c>
      <c r="C29" s="24">
        <f t="shared" si="14"/>
        <v>15.420000000399998</v>
      </c>
      <c r="D29" s="24">
        <f t="shared" si="15"/>
        <v>15.080010000000007</v>
      </c>
      <c r="E29" s="24">
        <f t="shared" si="16"/>
        <v>14.740000008499994</v>
      </c>
      <c r="F29" s="24">
        <f t="shared" si="17"/>
        <v>14.400000004000018</v>
      </c>
      <c r="G29" s="24">
        <f t="shared" si="18"/>
        <v>14.060000000000009</v>
      </c>
      <c r="H29" s="24">
        <f t="shared" si="19"/>
        <v>13.720000080000013</v>
      </c>
      <c r="I29" s="24">
        <f t="shared" si="20"/>
        <v>13.472000007999991</v>
      </c>
      <c r="J29" s="24">
        <f t="shared" si="24"/>
        <v>13.224000000799993</v>
      </c>
      <c r="K29" s="24">
        <f t="shared" si="21"/>
        <v>12.97600008</v>
      </c>
      <c r="L29" s="24">
        <f t="shared" si="22"/>
        <v>12.728000080000005</v>
      </c>
      <c r="M29" s="25">
        <f t="shared" si="23"/>
        <v>12.480000008000006</v>
      </c>
      <c r="U29" s="10"/>
      <c r="V29" s="10"/>
      <c r="W29" s="10"/>
      <c r="X29" s="10"/>
      <c r="Y29" s="10"/>
      <c r="Z29" s="10"/>
      <c r="AA29" s="10"/>
      <c r="AB29" s="10"/>
      <c r="AC29" s="10"/>
    </row>
    <row r="30" spans="1:29">
      <c r="A30" s="21">
        <v>24</v>
      </c>
      <c r="B30" s="24">
        <f t="shared" si="13"/>
        <v>16.135000057999978</v>
      </c>
      <c r="C30" s="24">
        <f t="shared" si="14"/>
        <v>15.735000000399998</v>
      </c>
      <c r="D30" s="24">
        <f t="shared" si="15"/>
        <v>15.390010000000007</v>
      </c>
      <c r="E30" s="24">
        <f t="shared" si="16"/>
        <v>15.045000008499994</v>
      </c>
      <c r="F30" s="24">
        <f t="shared" si="17"/>
        <v>14.700000004000019</v>
      </c>
      <c r="G30" s="24">
        <f>G31-0.295</f>
        <v>14.355000000000009</v>
      </c>
      <c r="H30" s="24">
        <f>H31-0.29</f>
        <v>14.010000080000012</v>
      </c>
      <c r="I30" s="24">
        <f>I31-0.284</f>
        <v>13.756000007999992</v>
      </c>
      <c r="J30" s="24">
        <f>J31-0.278</f>
        <v>13.502000000799994</v>
      </c>
      <c r="K30" s="24">
        <f>K31-0.272</f>
        <v>13.248000080000001</v>
      </c>
      <c r="L30" s="24">
        <f>L31-0.266</f>
        <v>12.994000080000005</v>
      </c>
      <c r="M30" s="25">
        <f>M31-0.26</f>
        <v>12.740000008000006</v>
      </c>
      <c r="U30" s="10"/>
      <c r="V30" s="10"/>
      <c r="W30" s="10"/>
      <c r="X30" s="10"/>
      <c r="Y30" s="10"/>
      <c r="Z30" s="10"/>
      <c r="AA30" s="10"/>
      <c r="AB30" s="10"/>
      <c r="AC30" s="10"/>
    </row>
    <row r="31" spans="1:29">
      <c r="A31" s="21">
        <v>25</v>
      </c>
      <c r="B31" s="24">
        <f t="shared" ref="B31:B41" si="25">B32-0.366666666</f>
        <v>16.450000057999979</v>
      </c>
      <c r="C31" s="24">
        <f t="shared" ref="C31:C41" si="26">C32-0.3583333333</f>
        <v>16.050000000399997</v>
      </c>
      <c r="D31" s="24">
        <f t="shared" ref="D31:D41" si="27">D32-0.35</f>
        <v>15.700010000000008</v>
      </c>
      <c r="E31" s="24">
        <f t="shared" ref="E31:E41" si="28">E32-0.341666666</f>
        <v>15.350000008499993</v>
      </c>
      <c r="F31" s="26">
        <f t="shared" ref="F31:F41" si="29">F32-0.333333333</f>
        <v>15.00000000400002</v>
      </c>
      <c r="G31" s="24">
        <f t="shared" ref="G31:G41" si="30">G32-0.325</f>
        <v>14.650000000000009</v>
      </c>
      <c r="H31" s="26">
        <f t="shared" ref="H31:H41" si="31">H32-0.31666666</f>
        <v>14.300000080000011</v>
      </c>
      <c r="I31" s="24">
        <f t="shared" ref="I31:I41" si="32">I32-0.311666666</f>
        <v>14.040000007999993</v>
      </c>
      <c r="J31" s="24">
        <f t="shared" ref="J31:J41" si="33">J32-0.3066666666</f>
        <v>13.780000000799994</v>
      </c>
      <c r="K31" s="24">
        <f t="shared" ref="K31:K41" si="34">K32-0.30166666</f>
        <v>13.520000080000001</v>
      </c>
      <c r="L31" s="24">
        <f t="shared" ref="L31:L41" si="35">L32-0.29666666</f>
        <v>13.260000080000005</v>
      </c>
      <c r="M31" s="27">
        <f t="shared" ref="M31:M41" si="36">M32-0.291666666</f>
        <v>13.000000008000006</v>
      </c>
      <c r="U31" s="10"/>
      <c r="V31" s="10"/>
      <c r="W31" s="10"/>
      <c r="X31" s="10"/>
      <c r="Y31" s="10"/>
      <c r="Z31" s="10"/>
      <c r="AA31" s="10"/>
      <c r="AB31" s="10"/>
      <c r="AC31" s="10"/>
    </row>
    <row r="32" spans="1:29">
      <c r="A32" s="21">
        <v>26</v>
      </c>
      <c r="B32" s="24">
        <f t="shared" si="25"/>
        <v>16.81666672399998</v>
      </c>
      <c r="C32" s="24">
        <f t="shared" si="26"/>
        <v>16.408333333699996</v>
      </c>
      <c r="D32" s="24">
        <f t="shared" si="27"/>
        <v>16.050010000000007</v>
      </c>
      <c r="E32" s="24">
        <f t="shared" si="28"/>
        <v>15.691666674499993</v>
      </c>
      <c r="F32" s="24">
        <f t="shared" si="29"/>
        <v>15.33333333700002</v>
      </c>
      <c r="G32" s="24">
        <f t="shared" si="30"/>
        <v>14.975000000000009</v>
      </c>
      <c r="H32" s="24">
        <f t="shared" si="31"/>
        <v>14.61666674000001</v>
      </c>
      <c r="I32" s="24">
        <f t="shared" si="32"/>
        <v>14.351666673999993</v>
      </c>
      <c r="J32" s="24">
        <f t="shared" si="33"/>
        <v>14.086666667399994</v>
      </c>
      <c r="K32" s="24">
        <f t="shared" si="34"/>
        <v>13.821666740000001</v>
      </c>
      <c r="L32" s="24">
        <f t="shared" si="35"/>
        <v>13.556666740000004</v>
      </c>
      <c r="M32" s="25">
        <f t="shared" si="36"/>
        <v>13.291666674000005</v>
      </c>
      <c r="U32" s="10"/>
      <c r="V32" s="10"/>
      <c r="W32" s="10"/>
      <c r="X32" s="10"/>
      <c r="Y32" s="10"/>
      <c r="Z32" s="28"/>
      <c r="AA32" s="28"/>
      <c r="AB32" s="10"/>
      <c r="AC32" s="10"/>
    </row>
    <row r="33" spans="1:29" ht="12.75" customHeight="1">
      <c r="A33" s="21">
        <v>27</v>
      </c>
      <c r="B33" s="24">
        <f t="shared" si="25"/>
        <v>17.18333338999998</v>
      </c>
      <c r="C33" s="24">
        <f t="shared" si="26"/>
        <v>16.766666666999996</v>
      </c>
      <c r="D33" s="24">
        <f t="shared" si="27"/>
        <v>16.400010000000009</v>
      </c>
      <c r="E33" s="24">
        <f t="shared" si="28"/>
        <v>16.033333340499993</v>
      </c>
      <c r="F33" s="24">
        <f t="shared" si="29"/>
        <v>15.666666670000021</v>
      </c>
      <c r="G33" s="24">
        <f t="shared" si="30"/>
        <v>15.300000000000008</v>
      </c>
      <c r="H33" s="24">
        <f t="shared" si="31"/>
        <v>14.933333400000009</v>
      </c>
      <c r="I33" s="24">
        <f t="shared" si="32"/>
        <v>14.663333339999994</v>
      </c>
      <c r="J33" s="24">
        <f t="shared" si="33"/>
        <v>14.393333333999994</v>
      </c>
      <c r="K33" s="24">
        <f t="shared" si="34"/>
        <v>14.123333400000002</v>
      </c>
      <c r="L33" s="24">
        <f t="shared" si="35"/>
        <v>13.853333400000004</v>
      </c>
      <c r="M33" s="25">
        <f t="shared" si="36"/>
        <v>13.583333340000005</v>
      </c>
      <c r="U33" s="10"/>
      <c r="V33" s="10"/>
      <c r="W33" s="10"/>
      <c r="X33" s="10"/>
      <c r="Y33" s="10"/>
      <c r="Z33" s="10"/>
      <c r="AA33" s="10"/>
      <c r="AB33" s="10"/>
      <c r="AC33" s="10"/>
    </row>
    <row r="34" spans="1:29" ht="12.75" customHeight="1">
      <c r="A34" s="21">
        <v>28</v>
      </c>
      <c r="B34" s="24">
        <f t="shared" si="25"/>
        <v>17.55000005599998</v>
      </c>
      <c r="C34" s="24">
        <f t="shared" si="26"/>
        <v>17.125000000299995</v>
      </c>
      <c r="D34" s="24">
        <f t="shared" si="27"/>
        <v>16.75001000000001</v>
      </c>
      <c r="E34" s="24">
        <f t="shared" si="28"/>
        <v>16.375000006499992</v>
      </c>
      <c r="F34" s="24">
        <f t="shared" si="29"/>
        <v>16.000000003000022</v>
      </c>
      <c r="G34" s="24">
        <f t="shared" si="30"/>
        <v>15.625000000000007</v>
      </c>
      <c r="H34" s="24">
        <f t="shared" si="31"/>
        <v>15.250000060000009</v>
      </c>
      <c r="I34" s="24">
        <f t="shared" si="32"/>
        <v>14.975000005999995</v>
      </c>
      <c r="J34" s="24">
        <f t="shared" si="33"/>
        <v>14.700000000599994</v>
      </c>
      <c r="K34" s="24">
        <f t="shared" si="34"/>
        <v>14.425000060000002</v>
      </c>
      <c r="L34" s="24">
        <f t="shared" si="35"/>
        <v>14.150000060000004</v>
      </c>
      <c r="M34" s="25">
        <f t="shared" si="36"/>
        <v>13.875000006000004</v>
      </c>
      <c r="U34" s="10"/>
      <c r="V34" s="10"/>
      <c r="W34" s="10"/>
      <c r="X34" s="10"/>
      <c r="Y34" s="10"/>
      <c r="Z34" s="10"/>
      <c r="AA34" s="10"/>
      <c r="AB34" s="10"/>
      <c r="AC34" s="10"/>
    </row>
    <row r="35" spans="1:29" ht="12.75" customHeight="1">
      <c r="A35" s="21">
        <v>29</v>
      </c>
      <c r="B35" s="24">
        <f t="shared" si="25"/>
        <v>17.916666721999981</v>
      </c>
      <c r="C35" s="24">
        <f t="shared" si="26"/>
        <v>17.483333333599994</v>
      </c>
      <c r="D35" s="24">
        <f t="shared" si="27"/>
        <v>17.100010000000012</v>
      </c>
      <c r="E35" s="24">
        <f t="shared" si="28"/>
        <v>16.71666667249999</v>
      </c>
      <c r="F35" s="24">
        <f t="shared" si="29"/>
        <v>16.33333333600002</v>
      </c>
      <c r="G35" s="24">
        <f t="shared" si="30"/>
        <v>15.950000000000006</v>
      </c>
      <c r="H35" s="24">
        <f t="shared" si="31"/>
        <v>15.566666720000008</v>
      </c>
      <c r="I35" s="24">
        <f t="shared" si="32"/>
        <v>15.286666671999996</v>
      </c>
      <c r="J35" s="24">
        <f t="shared" si="33"/>
        <v>15.006666667199994</v>
      </c>
      <c r="K35" s="24">
        <f t="shared" si="34"/>
        <v>14.726666720000003</v>
      </c>
      <c r="L35" s="24">
        <f t="shared" si="35"/>
        <v>14.446666720000003</v>
      </c>
      <c r="M35" s="25">
        <f t="shared" si="36"/>
        <v>14.166666672000003</v>
      </c>
      <c r="U35" s="10"/>
      <c r="V35" s="10"/>
      <c r="W35" s="10"/>
      <c r="X35" s="10"/>
      <c r="Y35" s="10"/>
      <c r="Z35" s="10"/>
      <c r="AA35" s="10"/>
      <c r="AB35" s="10"/>
      <c r="AC35" s="10"/>
    </row>
    <row r="36" spans="1:29">
      <c r="A36" s="21">
        <v>30</v>
      </c>
      <c r="B36" s="24">
        <f t="shared" si="25"/>
        <v>18.283333387999981</v>
      </c>
      <c r="C36" s="24">
        <f t="shared" si="26"/>
        <v>17.841666666899993</v>
      </c>
      <c r="D36" s="24">
        <f t="shared" si="27"/>
        <v>17.450010000000013</v>
      </c>
      <c r="E36" s="24">
        <f t="shared" si="28"/>
        <v>17.058333338499988</v>
      </c>
      <c r="F36" s="24">
        <f t="shared" si="29"/>
        <v>16.666666669000019</v>
      </c>
      <c r="G36" s="24">
        <f t="shared" si="30"/>
        <v>16.275000000000006</v>
      </c>
      <c r="H36" s="24">
        <f t="shared" si="31"/>
        <v>15.883333380000007</v>
      </c>
      <c r="I36" s="24">
        <f t="shared" si="32"/>
        <v>15.598333337999996</v>
      </c>
      <c r="J36" s="24">
        <f t="shared" si="33"/>
        <v>15.313333333799994</v>
      </c>
      <c r="K36" s="24">
        <f t="shared" si="34"/>
        <v>15.028333380000003</v>
      </c>
      <c r="L36" s="24">
        <f t="shared" si="35"/>
        <v>14.743333380000003</v>
      </c>
      <c r="M36" s="25">
        <f t="shared" si="36"/>
        <v>14.458333338000003</v>
      </c>
      <c r="U36" s="10"/>
      <c r="V36" s="10"/>
      <c r="W36" s="10"/>
      <c r="X36" s="10"/>
      <c r="Y36" s="10"/>
      <c r="Z36" s="10"/>
      <c r="AA36" s="29"/>
      <c r="AB36" s="10"/>
      <c r="AC36" s="10"/>
    </row>
    <row r="37" spans="1:29">
      <c r="A37" s="21">
        <v>31</v>
      </c>
      <c r="B37" s="24">
        <f t="shared" si="25"/>
        <v>18.650000053999982</v>
      </c>
      <c r="C37" s="24">
        <f t="shared" si="26"/>
        <v>18.200000000199992</v>
      </c>
      <c r="D37" s="24">
        <f t="shared" si="27"/>
        <v>17.800010000000015</v>
      </c>
      <c r="E37" s="24">
        <f t="shared" si="28"/>
        <v>17.400000004499987</v>
      </c>
      <c r="F37" s="24">
        <f t="shared" si="29"/>
        <v>17.000000002000018</v>
      </c>
      <c r="G37" s="24">
        <f t="shared" si="30"/>
        <v>16.600000000000005</v>
      </c>
      <c r="H37" s="24">
        <f t="shared" si="31"/>
        <v>16.200000040000006</v>
      </c>
      <c r="I37" s="24">
        <f t="shared" si="32"/>
        <v>15.910000003999997</v>
      </c>
      <c r="J37" s="24">
        <f t="shared" si="33"/>
        <v>15.620000000399994</v>
      </c>
      <c r="K37" s="24">
        <f t="shared" si="34"/>
        <v>15.330000040000003</v>
      </c>
      <c r="L37" s="24">
        <f t="shared" si="35"/>
        <v>15.040000040000002</v>
      </c>
      <c r="M37" s="25">
        <f t="shared" si="36"/>
        <v>14.750000004000002</v>
      </c>
      <c r="U37" s="10"/>
      <c r="V37" s="10"/>
      <c r="W37" s="10"/>
      <c r="X37" s="10"/>
      <c r="Y37" s="10"/>
      <c r="Z37" s="10"/>
      <c r="AA37" s="10"/>
      <c r="AB37" s="10"/>
      <c r="AC37" s="10"/>
    </row>
    <row r="38" spans="1:29">
      <c r="A38" s="21">
        <v>32</v>
      </c>
      <c r="B38" s="24">
        <f t="shared" si="25"/>
        <v>19.016666719999982</v>
      </c>
      <c r="C38" s="24">
        <f t="shared" si="26"/>
        <v>18.558333333499991</v>
      </c>
      <c r="D38" s="24">
        <f t="shared" si="27"/>
        <v>18.150010000000016</v>
      </c>
      <c r="E38" s="24">
        <f t="shared" si="28"/>
        <v>17.741666670499985</v>
      </c>
      <c r="F38" s="24">
        <f t="shared" si="29"/>
        <v>17.333333335000017</v>
      </c>
      <c r="G38" s="24">
        <f t="shared" si="30"/>
        <v>16.925000000000004</v>
      </c>
      <c r="H38" s="24">
        <f t="shared" si="31"/>
        <v>16.516666700000005</v>
      </c>
      <c r="I38" s="24">
        <f t="shared" si="32"/>
        <v>16.221666669999998</v>
      </c>
      <c r="J38" s="24">
        <f t="shared" si="33"/>
        <v>15.926666666999994</v>
      </c>
      <c r="K38" s="24">
        <f t="shared" si="34"/>
        <v>15.631666700000004</v>
      </c>
      <c r="L38" s="24">
        <f t="shared" si="35"/>
        <v>15.336666700000002</v>
      </c>
      <c r="M38" s="25">
        <f t="shared" si="36"/>
        <v>15.041666670000001</v>
      </c>
      <c r="U38" s="10"/>
      <c r="V38" s="10"/>
      <c r="W38" s="10"/>
      <c r="X38" s="10"/>
      <c r="Y38" s="10"/>
      <c r="Z38" s="10"/>
      <c r="AA38" s="10"/>
      <c r="AB38" s="10"/>
      <c r="AC38" s="10"/>
    </row>
    <row r="39" spans="1:29">
      <c r="A39" s="21">
        <v>33</v>
      </c>
      <c r="B39" s="24">
        <f t="shared" si="25"/>
        <v>19.383333385999983</v>
      </c>
      <c r="C39" s="24">
        <f t="shared" si="26"/>
        <v>18.916666666799991</v>
      </c>
      <c r="D39" s="24">
        <f t="shared" si="27"/>
        <v>18.500010000000017</v>
      </c>
      <c r="E39" s="24">
        <f t="shared" si="28"/>
        <v>18.083333336499983</v>
      </c>
      <c r="F39" s="24">
        <f t="shared" si="29"/>
        <v>17.666666668000016</v>
      </c>
      <c r="G39" s="24">
        <f t="shared" si="30"/>
        <v>17.250000000000004</v>
      </c>
      <c r="H39" s="24">
        <f t="shared" si="31"/>
        <v>16.833333360000005</v>
      </c>
      <c r="I39" s="24">
        <f t="shared" si="32"/>
        <v>16.533333335999998</v>
      </c>
      <c r="J39" s="24">
        <f t="shared" si="33"/>
        <v>16.233333333599994</v>
      </c>
      <c r="K39" s="24">
        <f t="shared" si="34"/>
        <v>15.933333360000004</v>
      </c>
      <c r="L39" s="24">
        <f t="shared" si="35"/>
        <v>15.633333360000002</v>
      </c>
      <c r="M39" s="25">
        <f t="shared" si="36"/>
        <v>15.333333336000001</v>
      </c>
      <c r="U39" s="10"/>
      <c r="V39" s="10"/>
      <c r="W39" s="10"/>
      <c r="X39" s="10"/>
      <c r="Y39" s="10"/>
      <c r="Z39" s="10"/>
      <c r="AA39" s="10"/>
      <c r="AB39" s="10"/>
      <c r="AC39" s="10"/>
    </row>
    <row r="40" spans="1:29">
      <c r="A40" s="21">
        <v>34</v>
      </c>
      <c r="B40" s="24">
        <f t="shared" si="25"/>
        <v>19.750000051999983</v>
      </c>
      <c r="C40" s="24">
        <f t="shared" si="26"/>
        <v>19.27500000009999</v>
      </c>
      <c r="D40" s="24">
        <f t="shared" si="27"/>
        <v>18.850010000000019</v>
      </c>
      <c r="E40" s="24">
        <f t="shared" si="28"/>
        <v>18.425000002499981</v>
      </c>
      <c r="F40" s="24">
        <f t="shared" si="29"/>
        <v>18.000000001000014</v>
      </c>
      <c r="G40" s="24">
        <f t="shared" si="30"/>
        <v>17.575000000000003</v>
      </c>
      <c r="H40" s="24">
        <f t="shared" si="31"/>
        <v>17.150000020000004</v>
      </c>
      <c r="I40" s="24">
        <f t="shared" si="32"/>
        <v>16.845000001999999</v>
      </c>
      <c r="J40" s="24">
        <f t="shared" si="33"/>
        <v>16.540000000199996</v>
      </c>
      <c r="K40" s="24">
        <f t="shared" si="34"/>
        <v>16.235000020000005</v>
      </c>
      <c r="L40" s="24">
        <f t="shared" si="35"/>
        <v>15.930000020000001</v>
      </c>
      <c r="M40" s="25">
        <f t="shared" si="36"/>
        <v>15.625000002</v>
      </c>
      <c r="U40" s="10"/>
      <c r="V40" s="10"/>
      <c r="W40" s="10"/>
      <c r="X40" s="10"/>
      <c r="Y40" s="10"/>
      <c r="Z40" s="10"/>
      <c r="AA40" s="10"/>
      <c r="AB40" s="10"/>
      <c r="AC40" s="10"/>
    </row>
    <row r="41" spans="1:29">
      <c r="A41" s="21">
        <v>35</v>
      </c>
      <c r="B41" s="24">
        <f t="shared" si="25"/>
        <v>20.116666717999983</v>
      </c>
      <c r="C41" s="24">
        <f t="shared" si="26"/>
        <v>19.633333333399989</v>
      </c>
      <c r="D41" s="24">
        <f t="shared" si="27"/>
        <v>19.20001000000002</v>
      </c>
      <c r="E41" s="24">
        <f t="shared" si="28"/>
        <v>18.76666666849998</v>
      </c>
      <c r="F41" s="24">
        <f t="shared" si="29"/>
        <v>18.333333334000013</v>
      </c>
      <c r="G41" s="24">
        <f t="shared" si="30"/>
        <v>17.900000000000002</v>
      </c>
      <c r="H41" s="24">
        <f t="shared" si="31"/>
        <v>17.466666680000003</v>
      </c>
      <c r="I41" s="24">
        <f t="shared" si="32"/>
        <v>17.156666668</v>
      </c>
      <c r="J41" s="24">
        <f t="shared" si="33"/>
        <v>16.846666666799997</v>
      </c>
      <c r="K41" s="24">
        <f t="shared" si="34"/>
        <v>16.536666680000003</v>
      </c>
      <c r="L41" s="24">
        <f t="shared" si="35"/>
        <v>16.226666680000001</v>
      </c>
      <c r="M41" s="25">
        <f t="shared" si="36"/>
        <v>15.916666668</v>
      </c>
      <c r="U41" s="10"/>
      <c r="V41" s="10"/>
      <c r="W41" s="10"/>
      <c r="X41" s="10"/>
      <c r="Y41" s="10"/>
      <c r="Z41" s="10"/>
      <c r="AA41" s="10"/>
      <c r="AB41" s="10"/>
      <c r="AC41" s="10"/>
    </row>
    <row r="42" spans="1:29">
      <c r="A42" s="21">
        <v>36</v>
      </c>
      <c r="B42" s="24">
        <f>B43-0.366666666</f>
        <v>20.483333383999984</v>
      </c>
      <c r="C42" s="24">
        <f>C43-0.3583333333</f>
        <v>19.991666666699988</v>
      </c>
      <c r="D42" s="24">
        <f>D43-0.35</f>
        <v>19.550010000000022</v>
      </c>
      <c r="E42" s="24">
        <f>E43-0.341666666</f>
        <v>19.108333334499978</v>
      </c>
      <c r="F42" s="24">
        <f>F43-0.333333333</f>
        <v>18.666666667000012</v>
      </c>
      <c r="G42" s="24">
        <f>G43-0.325</f>
        <v>18.225000000000001</v>
      </c>
      <c r="H42" s="24">
        <f>H43-0.31666666</f>
        <v>17.783333340000002</v>
      </c>
      <c r="I42" s="24">
        <f>I43-0.311666666</f>
        <v>17.468333334</v>
      </c>
      <c r="J42" s="24">
        <f>J43-0.3066666666</f>
        <v>17.153333333399999</v>
      </c>
      <c r="K42" s="24">
        <f>K43-0.30166666</f>
        <v>16.838333340000002</v>
      </c>
      <c r="L42" s="24">
        <f>L43-0.29666666</f>
        <v>16.523333340000001</v>
      </c>
      <c r="M42" s="25">
        <f>M43-0.291666666</f>
        <v>16.208333333999999</v>
      </c>
      <c r="U42" s="10"/>
      <c r="V42" s="10"/>
      <c r="W42" s="10"/>
      <c r="X42" s="10"/>
      <c r="Y42" s="10"/>
      <c r="Z42" s="10"/>
      <c r="AA42" s="10"/>
      <c r="AB42" s="10"/>
      <c r="AC42" s="10"/>
    </row>
    <row r="43" spans="1:29">
      <c r="A43" s="21">
        <v>37</v>
      </c>
      <c r="B43" s="24">
        <f t="shared" ref="B43:B57" si="37">B44-0.21333333</f>
        <v>20.850000049999984</v>
      </c>
      <c r="C43" s="24">
        <f t="shared" ref="C43:C57" si="38">C44-0.21</f>
        <v>20.349999999999987</v>
      </c>
      <c r="D43" s="24">
        <f t="shared" ref="D43:D57" si="39">D44-0.206666</f>
        <v>19.900010000000023</v>
      </c>
      <c r="E43" s="24">
        <f t="shared" ref="E43:E57" si="40">E44-0.2033333333</f>
        <v>19.450000000499976</v>
      </c>
      <c r="F43" s="26">
        <f t="shared" ref="F43:F57" si="41">F44-0.2</f>
        <v>19.000000000000011</v>
      </c>
      <c r="G43" s="24">
        <v>18.55</v>
      </c>
      <c r="H43" s="26">
        <v>18.100000000000001</v>
      </c>
      <c r="I43" s="24">
        <f>H43-0.32</f>
        <v>17.78</v>
      </c>
      <c r="J43" s="24">
        <f>I43-0.32</f>
        <v>17.46</v>
      </c>
      <c r="K43" s="24">
        <f>J43-0.32</f>
        <v>17.14</v>
      </c>
      <c r="L43" s="24">
        <f>K43-0.32</f>
        <v>16.82</v>
      </c>
      <c r="M43" s="27">
        <f>L43-0.32</f>
        <v>16.5</v>
      </c>
      <c r="U43" s="10"/>
      <c r="V43" s="10"/>
      <c r="W43" s="10"/>
      <c r="X43" s="10"/>
      <c r="Y43" s="10"/>
      <c r="Z43" s="10"/>
      <c r="AA43" s="10"/>
      <c r="AB43" s="10"/>
      <c r="AC43" s="10"/>
    </row>
    <row r="44" spans="1:29">
      <c r="A44" s="21">
        <v>38</v>
      </c>
      <c r="B44" s="24">
        <f t="shared" si="37"/>
        <v>21.063333379999985</v>
      </c>
      <c r="C44" s="24">
        <f t="shared" si="38"/>
        <v>20.559999999999988</v>
      </c>
      <c r="D44" s="24">
        <f t="shared" si="39"/>
        <v>20.106676000000022</v>
      </c>
      <c r="E44" s="24">
        <f t="shared" si="40"/>
        <v>19.653333333799978</v>
      </c>
      <c r="F44" s="24">
        <f t="shared" si="41"/>
        <v>19.20000000000001</v>
      </c>
      <c r="G44" s="24">
        <f t="shared" ref="G44:G57" si="42">G45-(($G$58-$G$43)/15)</f>
        <v>18.746666666666684</v>
      </c>
      <c r="H44" s="24">
        <f t="shared" ref="H44:H57" si="43">H45-(($H$58-$H$43)/15)</f>
        <v>18.293333333333358</v>
      </c>
      <c r="I44" s="24">
        <f t="shared" ref="I44:I57" si="44">I45-(($I$58-$I$43)/15)</f>
        <v>17.969333333333328</v>
      </c>
      <c r="J44" s="24">
        <f t="shared" ref="J44:J57" si="45">J45-(($J$58-$J$43)/15)</f>
        <v>17.645333333333348</v>
      </c>
      <c r="K44" s="24">
        <f t="shared" ref="K44:K57" si="46">K45-(($K$58-$K$43)/15)</f>
        <v>17.321333333333317</v>
      </c>
      <c r="L44" s="24">
        <f t="shared" ref="L44:L57" si="47">L45-(($L$58-$L$43)/15)</f>
        <v>16.997333333333337</v>
      </c>
      <c r="M44" s="25">
        <f t="shared" ref="M44:M57" si="48">M45-(($M$58-$M$43)/15)</f>
        <v>16.673333333333357</v>
      </c>
      <c r="U44" s="10"/>
      <c r="V44" s="10"/>
      <c r="W44" s="10"/>
      <c r="X44" s="10"/>
      <c r="Y44" s="10"/>
      <c r="Z44" s="10"/>
      <c r="AA44" s="10"/>
      <c r="AB44" s="10"/>
      <c r="AC44" s="10"/>
    </row>
    <row r="45" spans="1:29">
      <c r="A45" s="21">
        <v>39</v>
      </c>
      <c r="B45" s="24">
        <f t="shared" si="37"/>
        <v>21.276666709999986</v>
      </c>
      <c r="C45" s="24">
        <f t="shared" si="38"/>
        <v>20.769999999999989</v>
      </c>
      <c r="D45" s="24">
        <f t="shared" si="39"/>
        <v>20.31334200000002</v>
      </c>
      <c r="E45" s="24">
        <f t="shared" si="40"/>
        <v>19.856666667099979</v>
      </c>
      <c r="F45" s="24">
        <f t="shared" si="41"/>
        <v>19.400000000000009</v>
      </c>
      <c r="G45" s="24">
        <f t="shared" si="42"/>
        <v>18.943333333333349</v>
      </c>
      <c r="H45" s="24">
        <f t="shared" si="43"/>
        <v>18.486666666666689</v>
      </c>
      <c r="I45" s="24">
        <f t="shared" si="44"/>
        <v>18.158666666666662</v>
      </c>
      <c r="J45" s="24">
        <f t="shared" si="45"/>
        <v>17.83066666666668</v>
      </c>
      <c r="K45" s="24">
        <f t="shared" si="46"/>
        <v>17.502666666666652</v>
      </c>
      <c r="L45" s="24">
        <f t="shared" si="47"/>
        <v>17.174666666666671</v>
      </c>
      <c r="M45" s="25">
        <f t="shared" si="48"/>
        <v>16.846666666666689</v>
      </c>
      <c r="U45" s="10"/>
      <c r="V45" s="10"/>
      <c r="W45" s="10"/>
      <c r="X45" s="10"/>
      <c r="Y45" s="10"/>
      <c r="Z45" s="10"/>
      <c r="AA45" s="10"/>
      <c r="AB45" s="10"/>
      <c r="AC45" s="10"/>
    </row>
    <row r="46" spans="1:29">
      <c r="A46" s="21">
        <v>40</v>
      </c>
      <c r="B46" s="24">
        <f t="shared" si="37"/>
        <v>21.490000039999988</v>
      </c>
      <c r="C46" s="24">
        <f t="shared" si="38"/>
        <v>20.97999999999999</v>
      </c>
      <c r="D46" s="24">
        <f t="shared" si="39"/>
        <v>20.520008000000018</v>
      </c>
      <c r="E46" s="24">
        <f t="shared" si="40"/>
        <v>20.060000000399981</v>
      </c>
      <c r="F46" s="24">
        <f t="shared" si="41"/>
        <v>19.600000000000009</v>
      </c>
      <c r="G46" s="24">
        <f t="shared" si="42"/>
        <v>19.140000000000015</v>
      </c>
      <c r="H46" s="24">
        <f t="shared" si="43"/>
        <v>18.680000000000021</v>
      </c>
      <c r="I46" s="24">
        <f t="shared" si="44"/>
        <v>18.347999999999995</v>
      </c>
      <c r="J46" s="24">
        <f t="shared" si="45"/>
        <v>18.016000000000012</v>
      </c>
      <c r="K46" s="24">
        <f t="shared" si="46"/>
        <v>17.683999999999987</v>
      </c>
      <c r="L46" s="24">
        <f t="shared" si="47"/>
        <v>17.352000000000004</v>
      </c>
      <c r="M46" s="25">
        <f t="shared" si="48"/>
        <v>17.020000000000021</v>
      </c>
      <c r="U46" s="10"/>
      <c r="V46" s="10"/>
      <c r="W46" s="10"/>
      <c r="X46" s="10"/>
      <c r="Y46" s="10"/>
      <c r="Z46" s="10"/>
      <c r="AA46" s="10"/>
      <c r="AB46" s="10"/>
      <c r="AC46" s="10"/>
    </row>
    <row r="47" spans="1:29">
      <c r="A47" s="21">
        <v>41</v>
      </c>
      <c r="B47" s="24">
        <f t="shared" si="37"/>
        <v>21.703333369999989</v>
      </c>
      <c r="C47" s="24">
        <f t="shared" si="38"/>
        <v>21.189999999999991</v>
      </c>
      <c r="D47" s="24">
        <f t="shared" si="39"/>
        <v>20.726674000000017</v>
      </c>
      <c r="E47" s="24">
        <f t="shared" si="40"/>
        <v>20.263333333699983</v>
      </c>
      <c r="F47" s="24">
        <f t="shared" si="41"/>
        <v>19.800000000000008</v>
      </c>
      <c r="G47" s="24">
        <f t="shared" si="42"/>
        <v>19.33666666666668</v>
      </c>
      <c r="H47" s="24">
        <f t="shared" si="43"/>
        <v>18.873333333333353</v>
      </c>
      <c r="I47" s="24">
        <f t="shared" si="44"/>
        <v>18.537333333333329</v>
      </c>
      <c r="J47" s="24">
        <f t="shared" si="45"/>
        <v>18.201333333333345</v>
      </c>
      <c r="K47" s="24">
        <f t="shared" si="46"/>
        <v>17.865333333333322</v>
      </c>
      <c r="L47" s="24">
        <f t="shared" si="47"/>
        <v>17.529333333333337</v>
      </c>
      <c r="M47" s="25">
        <f t="shared" si="48"/>
        <v>17.193333333333353</v>
      </c>
      <c r="U47" s="10"/>
      <c r="V47" s="10"/>
      <c r="W47" s="10"/>
      <c r="X47" s="10"/>
      <c r="Y47" s="10"/>
      <c r="Z47" s="10"/>
      <c r="AA47" s="10"/>
      <c r="AB47" s="10"/>
      <c r="AC47" s="10"/>
    </row>
    <row r="48" spans="1:29">
      <c r="A48" s="21">
        <v>42</v>
      </c>
      <c r="B48" s="24">
        <f t="shared" si="37"/>
        <v>21.91666669999999</v>
      </c>
      <c r="C48" s="24">
        <f t="shared" si="38"/>
        <v>21.399999999999991</v>
      </c>
      <c r="D48" s="24">
        <f t="shared" si="39"/>
        <v>20.933340000000015</v>
      </c>
      <c r="E48" s="24">
        <f t="shared" si="40"/>
        <v>20.466666666999984</v>
      </c>
      <c r="F48" s="24">
        <f t="shared" si="41"/>
        <v>20.000000000000007</v>
      </c>
      <c r="G48" s="24">
        <f t="shared" si="42"/>
        <v>19.533333333333346</v>
      </c>
      <c r="H48" s="24">
        <f t="shared" si="43"/>
        <v>19.066666666666684</v>
      </c>
      <c r="I48" s="24">
        <f t="shared" si="44"/>
        <v>18.726666666666663</v>
      </c>
      <c r="J48" s="24">
        <f t="shared" si="45"/>
        <v>18.386666666666677</v>
      </c>
      <c r="K48" s="24">
        <f t="shared" si="46"/>
        <v>18.046666666666656</v>
      </c>
      <c r="L48" s="24">
        <f t="shared" si="47"/>
        <v>17.706666666666671</v>
      </c>
      <c r="M48" s="25">
        <f t="shared" si="48"/>
        <v>17.366666666666685</v>
      </c>
      <c r="U48" s="10"/>
      <c r="V48" s="10"/>
      <c r="W48" s="10"/>
      <c r="X48" s="10"/>
      <c r="Y48" s="10"/>
      <c r="Z48" s="10"/>
      <c r="AA48" s="10"/>
      <c r="AB48" s="10"/>
      <c r="AC48" s="10"/>
    </row>
    <row r="49" spans="1:29">
      <c r="A49" s="21">
        <v>43</v>
      </c>
      <c r="B49" s="24">
        <f t="shared" si="37"/>
        <v>22.130000029999991</v>
      </c>
      <c r="C49" s="24">
        <f t="shared" si="38"/>
        <v>21.609999999999992</v>
      </c>
      <c r="D49" s="24">
        <f t="shared" si="39"/>
        <v>21.140006000000014</v>
      </c>
      <c r="E49" s="24">
        <f t="shared" si="40"/>
        <v>20.670000000299986</v>
      </c>
      <c r="F49" s="24">
        <f t="shared" si="41"/>
        <v>20.200000000000006</v>
      </c>
      <c r="G49" s="24">
        <f t="shared" si="42"/>
        <v>19.730000000000011</v>
      </c>
      <c r="H49" s="24">
        <f t="shared" si="43"/>
        <v>19.260000000000016</v>
      </c>
      <c r="I49" s="24">
        <f t="shared" si="44"/>
        <v>18.915999999999997</v>
      </c>
      <c r="J49" s="24">
        <f t="shared" si="45"/>
        <v>18.57200000000001</v>
      </c>
      <c r="K49" s="24">
        <f t="shared" si="46"/>
        <v>18.227999999999991</v>
      </c>
      <c r="L49" s="24">
        <f t="shared" si="47"/>
        <v>17.884000000000004</v>
      </c>
      <c r="M49" s="25">
        <f t="shared" si="48"/>
        <v>17.540000000000017</v>
      </c>
      <c r="U49" s="10"/>
      <c r="V49" s="10"/>
      <c r="W49" s="10"/>
      <c r="X49" s="10"/>
      <c r="Y49" s="10"/>
      <c r="Z49" s="10"/>
      <c r="AA49" s="10"/>
      <c r="AB49" s="10"/>
      <c r="AC49" s="10"/>
    </row>
    <row r="50" spans="1:29">
      <c r="A50" s="21">
        <v>44</v>
      </c>
      <c r="B50" s="24">
        <f t="shared" si="37"/>
        <v>22.343333359999992</v>
      </c>
      <c r="C50" s="24">
        <f t="shared" si="38"/>
        <v>21.819999999999993</v>
      </c>
      <c r="D50" s="24">
        <f t="shared" si="39"/>
        <v>21.346672000000012</v>
      </c>
      <c r="E50" s="24">
        <f t="shared" si="40"/>
        <v>20.873333333599987</v>
      </c>
      <c r="F50" s="24">
        <f t="shared" si="41"/>
        <v>20.400000000000006</v>
      </c>
      <c r="G50" s="24">
        <f t="shared" si="42"/>
        <v>19.926666666666677</v>
      </c>
      <c r="H50" s="24">
        <f t="shared" si="43"/>
        <v>19.453333333333347</v>
      </c>
      <c r="I50" s="24">
        <f t="shared" si="44"/>
        <v>19.105333333333331</v>
      </c>
      <c r="J50" s="24">
        <f t="shared" si="45"/>
        <v>18.757333333333342</v>
      </c>
      <c r="K50" s="24">
        <f t="shared" si="46"/>
        <v>18.409333333333326</v>
      </c>
      <c r="L50" s="24">
        <f t="shared" si="47"/>
        <v>18.061333333333337</v>
      </c>
      <c r="M50" s="25">
        <f t="shared" si="48"/>
        <v>17.713333333333349</v>
      </c>
      <c r="U50" s="10"/>
      <c r="V50" s="10"/>
      <c r="W50" s="10"/>
      <c r="X50" s="10"/>
      <c r="Y50" s="10"/>
      <c r="Z50" s="10"/>
      <c r="AA50" s="10"/>
      <c r="AB50" s="10"/>
      <c r="AC50" s="10"/>
    </row>
    <row r="51" spans="1:29">
      <c r="A51" s="21">
        <v>45</v>
      </c>
      <c r="B51" s="24">
        <f>B52-0.21333333</f>
        <v>22.556666689999993</v>
      </c>
      <c r="C51" s="24">
        <f>C52-0.21</f>
        <v>22.029999999999994</v>
      </c>
      <c r="D51" s="24">
        <f>D52-0.206666</f>
        <v>21.553338000000011</v>
      </c>
      <c r="E51" s="24">
        <f>E52-0.2033333333</f>
        <v>21.076666666899989</v>
      </c>
      <c r="F51" s="24">
        <f>F52-0.2</f>
        <v>20.600000000000005</v>
      </c>
      <c r="G51" s="24">
        <f t="shared" si="42"/>
        <v>20.123333333333342</v>
      </c>
      <c r="H51" s="24">
        <f t="shared" si="43"/>
        <v>19.646666666666679</v>
      </c>
      <c r="I51" s="24">
        <f t="shared" si="44"/>
        <v>19.294666666666664</v>
      </c>
      <c r="J51" s="24">
        <f t="shared" si="45"/>
        <v>18.942666666666675</v>
      </c>
      <c r="K51" s="24">
        <f t="shared" si="46"/>
        <v>18.59066666666666</v>
      </c>
      <c r="L51" s="24">
        <f t="shared" si="47"/>
        <v>18.238666666666671</v>
      </c>
      <c r="M51" s="25">
        <f t="shared" si="48"/>
        <v>17.886666666666681</v>
      </c>
      <c r="U51" s="10"/>
      <c r="V51" s="10"/>
      <c r="W51" s="10"/>
      <c r="X51" s="10"/>
      <c r="Y51" s="10"/>
      <c r="Z51" s="10"/>
      <c r="AA51" s="10"/>
      <c r="AB51" s="10"/>
      <c r="AC51" s="10"/>
    </row>
    <row r="52" spans="1:29">
      <c r="A52" s="21">
        <v>46</v>
      </c>
      <c r="B52" s="24">
        <f>B53-0.21333333</f>
        <v>22.770000019999994</v>
      </c>
      <c r="C52" s="24">
        <f>C53-0.21</f>
        <v>22.239999999999995</v>
      </c>
      <c r="D52" s="24">
        <f>D53-0.206666</f>
        <v>21.760004000000009</v>
      </c>
      <c r="E52" s="24">
        <f>E53-0.2033333333</f>
        <v>21.28000000019999</v>
      </c>
      <c r="F52" s="24">
        <f>F53-0.2</f>
        <v>20.800000000000004</v>
      </c>
      <c r="G52" s="24">
        <f t="shared" si="42"/>
        <v>20.320000000000007</v>
      </c>
      <c r="H52" s="24">
        <f t="shared" si="43"/>
        <v>19.840000000000011</v>
      </c>
      <c r="I52" s="24">
        <f t="shared" si="44"/>
        <v>19.483999999999998</v>
      </c>
      <c r="J52" s="24">
        <f t="shared" si="45"/>
        <v>19.128000000000007</v>
      </c>
      <c r="K52" s="24">
        <f t="shared" si="46"/>
        <v>18.771999999999995</v>
      </c>
      <c r="L52" s="24">
        <f t="shared" si="47"/>
        <v>18.416000000000004</v>
      </c>
      <c r="M52" s="25">
        <f t="shared" si="48"/>
        <v>18.060000000000013</v>
      </c>
      <c r="U52" s="10"/>
      <c r="V52" s="10"/>
      <c r="W52" s="10"/>
      <c r="X52" s="10"/>
      <c r="Y52" s="10"/>
      <c r="Z52" s="10"/>
      <c r="AA52" s="10"/>
      <c r="AB52" s="10"/>
      <c r="AC52" s="10"/>
    </row>
    <row r="53" spans="1:29">
      <c r="A53" s="21">
        <v>47</v>
      </c>
      <c r="B53" s="24">
        <f t="shared" si="37"/>
        <v>22.983333349999995</v>
      </c>
      <c r="C53" s="24">
        <f t="shared" si="38"/>
        <v>22.449999999999996</v>
      </c>
      <c r="D53" s="24">
        <f t="shared" si="39"/>
        <v>21.966670000000008</v>
      </c>
      <c r="E53" s="24">
        <f t="shared" si="40"/>
        <v>21.483333333499992</v>
      </c>
      <c r="F53" s="24">
        <f t="shared" si="41"/>
        <v>21.000000000000004</v>
      </c>
      <c r="G53" s="24">
        <f t="shared" si="42"/>
        <v>20.516666666666673</v>
      </c>
      <c r="H53" s="24">
        <f t="shared" si="43"/>
        <v>20.033333333333342</v>
      </c>
      <c r="I53" s="24">
        <f t="shared" si="44"/>
        <v>19.673333333333332</v>
      </c>
      <c r="J53" s="24">
        <f t="shared" si="45"/>
        <v>19.31333333333334</v>
      </c>
      <c r="K53" s="24">
        <f t="shared" si="46"/>
        <v>18.95333333333333</v>
      </c>
      <c r="L53" s="24">
        <f t="shared" si="47"/>
        <v>18.593333333333337</v>
      </c>
      <c r="M53" s="25">
        <f t="shared" si="48"/>
        <v>18.233333333333345</v>
      </c>
      <c r="U53" s="10"/>
      <c r="V53" s="10"/>
      <c r="W53" s="10"/>
      <c r="X53" s="10"/>
      <c r="Y53" s="10"/>
      <c r="Z53" s="10"/>
      <c r="AA53" s="10"/>
      <c r="AB53" s="10"/>
      <c r="AC53" s="10"/>
    </row>
    <row r="54" spans="1:29">
      <c r="A54" s="21">
        <v>48</v>
      </c>
      <c r="B54" s="24">
        <f t="shared" si="37"/>
        <v>23.196666679999996</v>
      </c>
      <c r="C54" s="24">
        <f t="shared" si="38"/>
        <v>22.659999999999997</v>
      </c>
      <c r="D54" s="24">
        <f t="shared" si="39"/>
        <v>22.173336000000006</v>
      </c>
      <c r="E54" s="24">
        <f t="shared" si="40"/>
        <v>21.686666666799994</v>
      </c>
      <c r="F54" s="24">
        <f t="shared" si="41"/>
        <v>21.200000000000003</v>
      </c>
      <c r="G54" s="24">
        <f t="shared" si="42"/>
        <v>20.713333333333338</v>
      </c>
      <c r="H54" s="24">
        <f t="shared" si="43"/>
        <v>20.226666666666674</v>
      </c>
      <c r="I54" s="24">
        <f t="shared" si="44"/>
        <v>19.862666666666666</v>
      </c>
      <c r="J54" s="24">
        <f t="shared" si="45"/>
        <v>19.498666666666672</v>
      </c>
      <c r="K54" s="24">
        <f t="shared" si="46"/>
        <v>19.134666666666664</v>
      </c>
      <c r="L54" s="24">
        <f t="shared" si="47"/>
        <v>18.770666666666671</v>
      </c>
      <c r="M54" s="25">
        <f t="shared" si="48"/>
        <v>18.406666666666677</v>
      </c>
      <c r="U54" s="10"/>
      <c r="V54" s="10"/>
      <c r="W54" s="10"/>
      <c r="X54" s="10"/>
      <c r="Y54" s="10"/>
      <c r="Z54" s="10"/>
      <c r="AA54" s="10"/>
      <c r="AB54" s="10"/>
      <c r="AC54" s="10"/>
    </row>
    <row r="55" spans="1:29">
      <c r="A55" s="21">
        <v>49</v>
      </c>
      <c r="B55" s="24">
        <f t="shared" si="37"/>
        <v>23.410000009999997</v>
      </c>
      <c r="C55" s="24">
        <f t="shared" si="38"/>
        <v>22.869999999999997</v>
      </c>
      <c r="D55" s="24">
        <f t="shared" si="39"/>
        <v>22.380002000000005</v>
      </c>
      <c r="E55" s="24">
        <f t="shared" si="40"/>
        <v>21.890000000099995</v>
      </c>
      <c r="F55" s="24">
        <f t="shared" si="41"/>
        <v>21.400000000000002</v>
      </c>
      <c r="G55" s="24">
        <f t="shared" si="42"/>
        <v>20.910000000000004</v>
      </c>
      <c r="H55" s="24">
        <f t="shared" si="43"/>
        <v>20.420000000000005</v>
      </c>
      <c r="I55" s="24">
        <f t="shared" si="44"/>
        <v>20.052</v>
      </c>
      <c r="J55" s="24">
        <f t="shared" si="45"/>
        <v>19.684000000000005</v>
      </c>
      <c r="K55" s="24">
        <f t="shared" si="46"/>
        <v>19.315999999999999</v>
      </c>
      <c r="L55" s="24">
        <f t="shared" si="47"/>
        <v>18.948000000000004</v>
      </c>
      <c r="M55" s="25">
        <f t="shared" si="48"/>
        <v>18.580000000000009</v>
      </c>
      <c r="U55" s="10"/>
      <c r="V55" s="10"/>
      <c r="W55" s="10"/>
      <c r="X55" s="10"/>
      <c r="Y55" s="10"/>
      <c r="Z55" s="10"/>
      <c r="AA55" s="10"/>
      <c r="AB55" s="10"/>
      <c r="AC55" s="10"/>
    </row>
    <row r="56" spans="1:29">
      <c r="A56" s="21">
        <v>50</v>
      </c>
      <c r="B56" s="24">
        <f t="shared" si="37"/>
        <v>23.623333339999999</v>
      </c>
      <c r="C56" s="24">
        <f t="shared" si="38"/>
        <v>23.08</v>
      </c>
      <c r="D56" s="24">
        <f t="shared" si="39"/>
        <v>22.586668000000003</v>
      </c>
      <c r="E56" s="24">
        <f t="shared" si="40"/>
        <v>22.093333333399997</v>
      </c>
      <c r="F56" s="24">
        <f t="shared" si="41"/>
        <v>21.6</v>
      </c>
      <c r="G56" s="24">
        <f t="shared" si="42"/>
        <v>21.106666666666669</v>
      </c>
      <c r="H56" s="24">
        <f t="shared" si="43"/>
        <v>20.613333333333337</v>
      </c>
      <c r="I56" s="24">
        <f t="shared" si="44"/>
        <v>20.241333333333333</v>
      </c>
      <c r="J56" s="24">
        <f t="shared" si="45"/>
        <v>19.869333333333337</v>
      </c>
      <c r="K56" s="24">
        <f t="shared" si="46"/>
        <v>19.497333333333334</v>
      </c>
      <c r="L56" s="24">
        <f t="shared" si="47"/>
        <v>19.125333333333337</v>
      </c>
      <c r="M56" s="25">
        <f t="shared" si="48"/>
        <v>18.753333333333341</v>
      </c>
      <c r="U56" s="10"/>
      <c r="V56" s="10"/>
      <c r="W56" s="10"/>
      <c r="X56" s="10"/>
      <c r="Y56" s="10"/>
      <c r="Z56" s="10"/>
      <c r="AA56" s="10"/>
      <c r="AB56" s="10"/>
      <c r="AC56" s="10"/>
    </row>
    <row r="57" spans="1:29">
      <c r="A57" s="21">
        <v>51</v>
      </c>
      <c r="B57" s="24">
        <f t="shared" si="37"/>
        <v>23.83666667</v>
      </c>
      <c r="C57" s="24">
        <f t="shared" si="38"/>
        <v>23.29</v>
      </c>
      <c r="D57" s="24">
        <f t="shared" si="39"/>
        <v>22.793334000000002</v>
      </c>
      <c r="E57" s="24">
        <f t="shared" si="40"/>
        <v>22.296666666699998</v>
      </c>
      <c r="F57" s="24">
        <f t="shared" si="41"/>
        <v>21.8</v>
      </c>
      <c r="G57" s="24">
        <f t="shared" si="42"/>
        <v>21.303333333333335</v>
      </c>
      <c r="H57" s="24">
        <f t="shared" si="43"/>
        <v>20.806666666666668</v>
      </c>
      <c r="I57" s="24">
        <f t="shared" si="44"/>
        <v>20.430666666666667</v>
      </c>
      <c r="J57" s="24">
        <f t="shared" si="45"/>
        <v>20.05466666666667</v>
      </c>
      <c r="K57" s="24">
        <f t="shared" si="46"/>
        <v>19.678666666666668</v>
      </c>
      <c r="L57" s="24">
        <f t="shared" si="47"/>
        <v>19.302666666666671</v>
      </c>
      <c r="M57" s="25">
        <f t="shared" si="48"/>
        <v>18.926666666666673</v>
      </c>
      <c r="U57" s="10"/>
      <c r="V57" s="10"/>
      <c r="W57" s="10"/>
      <c r="X57" s="10"/>
      <c r="Y57" s="10"/>
      <c r="Z57" s="10"/>
      <c r="AA57" s="10"/>
      <c r="AB57" s="10"/>
      <c r="AC57" s="10"/>
    </row>
    <row r="58" spans="1:29">
      <c r="A58" s="21">
        <v>52</v>
      </c>
      <c r="B58" s="24">
        <f>C58+0.55</f>
        <v>24.05</v>
      </c>
      <c r="C58" s="24">
        <f>D58+0.5</f>
        <v>23.5</v>
      </c>
      <c r="D58" s="24">
        <f>E58+0.5</f>
        <v>23</v>
      </c>
      <c r="E58" s="24">
        <f>F58+0.5</f>
        <v>22.5</v>
      </c>
      <c r="F58" s="26">
        <v>22</v>
      </c>
      <c r="G58" s="24">
        <v>21.5</v>
      </c>
      <c r="H58" s="26">
        <v>21</v>
      </c>
      <c r="I58" s="24">
        <f>H58-0.38</f>
        <v>20.62</v>
      </c>
      <c r="J58" s="24">
        <f>I58-0.38</f>
        <v>20.240000000000002</v>
      </c>
      <c r="K58" s="24">
        <f>J58-0.38</f>
        <v>19.860000000000003</v>
      </c>
      <c r="L58" s="24">
        <f>K58-0.38</f>
        <v>19.480000000000004</v>
      </c>
      <c r="M58" s="27">
        <f>L58-0.38</f>
        <v>19.100000000000005</v>
      </c>
    </row>
    <row r="59" spans="1:29">
      <c r="A59" s="21">
        <v>53</v>
      </c>
      <c r="B59" s="24">
        <f t="shared" ref="B59:B72" si="49">B60-(($B$73-$B$58)/15)</f>
        <v>24.196666666666648</v>
      </c>
      <c r="C59" s="24">
        <f t="shared" ref="C59:C72" si="50">C60-(($C$73-$C$58)/15)</f>
        <v>23.64333333333332</v>
      </c>
      <c r="D59" s="24">
        <f t="shared" ref="D59:D72" si="51">D60-(($D$73-$D$58)/15)</f>
        <v>23.139999999999993</v>
      </c>
      <c r="E59" s="24">
        <f t="shared" ref="E59:E72" si="52">E60-(($E$73-$E$58)/15)</f>
        <v>22.636666666666667</v>
      </c>
      <c r="F59" s="24">
        <f t="shared" ref="F59:F72" si="53">F60-(($F$73-$F$58)/15)</f>
        <v>22.13333333333334</v>
      </c>
      <c r="G59" s="24">
        <f t="shared" ref="G59:G72" si="54">G60-(($G$73-$G$58)/15)</f>
        <v>21.630000000000013</v>
      </c>
      <c r="H59" s="24">
        <f t="shared" ref="H59:H72" si="55">H60-(($H$73-$H$58)/15)</f>
        <v>21.126666666666686</v>
      </c>
      <c r="I59" s="24">
        <f t="shared" ref="I59:I72" si="56">I60-(($I$73-$I$58)/15)</f>
        <v>20.745333333333328</v>
      </c>
      <c r="J59" s="24">
        <f t="shared" ref="J59:J72" si="57">J60-(($J$73-$J$58)/15)</f>
        <v>20.364000000000019</v>
      </c>
      <c r="K59" s="24">
        <f t="shared" ref="K59:K72" si="58">K60-(($K$73-$K$58)/15)</f>
        <v>19.98266666666666</v>
      </c>
      <c r="L59" s="24">
        <f t="shared" ref="L59:L72" si="59">L60-(($L$73-$L$58)/15)</f>
        <v>19.601333333333351</v>
      </c>
      <c r="M59" s="25">
        <f t="shared" ref="M59:M72" si="60">M60-(($M$73-$M$58)/15)</f>
        <v>19.219999999999992</v>
      </c>
    </row>
    <row r="60" spans="1:29">
      <c r="A60" s="21">
        <v>54</v>
      </c>
      <c r="B60" s="24">
        <f t="shared" si="49"/>
        <v>24.343333333333316</v>
      </c>
      <c r="C60" s="24">
        <f t="shared" si="50"/>
        <v>23.786666666666655</v>
      </c>
      <c r="D60" s="24">
        <f t="shared" si="51"/>
        <v>23.279999999999994</v>
      </c>
      <c r="E60" s="24">
        <f t="shared" si="52"/>
        <v>22.773333333333333</v>
      </c>
      <c r="F60" s="24">
        <f t="shared" si="53"/>
        <v>22.266666666666673</v>
      </c>
      <c r="G60" s="24">
        <f t="shared" si="54"/>
        <v>21.760000000000012</v>
      </c>
      <c r="H60" s="24">
        <f t="shared" si="55"/>
        <v>21.253333333333352</v>
      </c>
      <c r="I60" s="24">
        <f t="shared" si="56"/>
        <v>20.870666666666661</v>
      </c>
      <c r="J60" s="24">
        <f t="shared" si="57"/>
        <v>20.488000000000017</v>
      </c>
      <c r="K60" s="24">
        <f t="shared" si="58"/>
        <v>20.105333333333327</v>
      </c>
      <c r="L60" s="24">
        <f t="shared" si="59"/>
        <v>19.722666666666683</v>
      </c>
      <c r="M60" s="25">
        <f t="shared" si="60"/>
        <v>19.339999999999993</v>
      </c>
    </row>
    <row r="61" spans="1:29">
      <c r="A61" s="21">
        <v>55</v>
      </c>
      <c r="B61" s="24">
        <f t="shared" si="49"/>
        <v>24.489999999999984</v>
      </c>
      <c r="C61" s="24">
        <f t="shared" si="50"/>
        <v>23.929999999999989</v>
      </c>
      <c r="D61" s="24">
        <f t="shared" si="51"/>
        <v>23.419999999999995</v>
      </c>
      <c r="E61" s="24">
        <f t="shared" si="52"/>
        <v>22.91</v>
      </c>
      <c r="F61" s="24">
        <f t="shared" si="53"/>
        <v>22.400000000000006</v>
      </c>
      <c r="G61" s="24">
        <f t="shared" si="54"/>
        <v>21.890000000000011</v>
      </c>
      <c r="H61" s="24">
        <f t="shared" si="55"/>
        <v>21.380000000000017</v>
      </c>
      <c r="I61" s="24">
        <f t="shared" si="56"/>
        <v>20.995999999999995</v>
      </c>
      <c r="J61" s="24">
        <f t="shared" si="57"/>
        <v>20.612000000000016</v>
      </c>
      <c r="K61" s="24">
        <f t="shared" si="58"/>
        <v>20.227999999999994</v>
      </c>
      <c r="L61" s="24">
        <f t="shared" si="59"/>
        <v>19.844000000000015</v>
      </c>
      <c r="M61" s="25">
        <f t="shared" si="60"/>
        <v>19.459999999999994</v>
      </c>
    </row>
    <row r="62" spans="1:29">
      <c r="A62" s="21">
        <v>56</v>
      </c>
      <c r="B62" s="24">
        <f t="shared" si="49"/>
        <v>24.636666666666653</v>
      </c>
      <c r="C62" s="24">
        <f t="shared" si="50"/>
        <v>24.073333333333323</v>
      </c>
      <c r="D62" s="24">
        <f t="shared" si="51"/>
        <v>23.559999999999995</v>
      </c>
      <c r="E62" s="24">
        <f t="shared" si="52"/>
        <v>23.046666666666667</v>
      </c>
      <c r="F62" s="24">
        <f t="shared" si="53"/>
        <v>22.533333333333339</v>
      </c>
      <c r="G62" s="24">
        <f t="shared" si="54"/>
        <v>22.02000000000001</v>
      </c>
      <c r="H62" s="24">
        <f t="shared" si="55"/>
        <v>21.506666666666682</v>
      </c>
      <c r="I62" s="24">
        <f t="shared" si="56"/>
        <v>21.121333333333329</v>
      </c>
      <c r="J62" s="24">
        <f t="shared" si="57"/>
        <v>20.736000000000015</v>
      </c>
      <c r="K62" s="24">
        <f t="shared" si="58"/>
        <v>20.350666666666662</v>
      </c>
      <c r="L62" s="24">
        <f t="shared" si="59"/>
        <v>19.965333333333348</v>
      </c>
      <c r="M62" s="25">
        <f t="shared" si="60"/>
        <v>19.579999999999995</v>
      </c>
    </row>
    <row r="63" spans="1:29">
      <c r="A63" s="21">
        <v>57</v>
      </c>
      <c r="B63" s="24">
        <f t="shared" si="49"/>
        <v>24.783333333333321</v>
      </c>
      <c r="C63" s="24">
        <f t="shared" si="50"/>
        <v>24.216666666666658</v>
      </c>
      <c r="D63" s="24">
        <f t="shared" si="51"/>
        <v>23.699999999999996</v>
      </c>
      <c r="E63" s="24">
        <f t="shared" si="52"/>
        <v>23.183333333333334</v>
      </c>
      <c r="F63" s="24">
        <f t="shared" si="53"/>
        <v>22.666666666666671</v>
      </c>
      <c r="G63" s="24">
        <f t="shared" si="54"/>
        <v>22.150000000000009</v>
      </c>
      <c r="H63" s="24">
        <f t="shared" si="55"/>
        <v>21.633333333333347</v>
      </c>
      <c r="I63" s="24">
        <f t="shared" si="56"/>
        <v>21.246666666666663</v>
      </c>
      <c r="J63" s="24">
        <f t="shared" si="57"/>
        <v>20.860000000000014</v>
      </c>
      <c r="K63" s="24">
        <f t="shared" si="58"/>
        <v>20.473333333333329</v>
      </c>
      <c r="L63" s="24">
        <f t="shared" si="59"/>
        <v>20.08666666666668</v>
      </c>
      <c r="M63" s="25">
        <f t="shared" si="60"/>
        <v>19.699999999999996</v>
      </c>
    </row>
    <row r="64" spans="1:29">
      <c r="A64" s="21">
        <v>58</v>
      </c>
      <c r="B64" s="24">
        <f t="shared" si="49"/>
        <v>24.929999999999989</v>
      </c>
      <c r="C64" s="24">
        <f t="shared" si="50"/>
        <v>24.359999999999992</v>
      </c>
      <c r="D64" s="24">
        <f t="shared" si="51"/>
        <v>23.839999999999996</v>
      </c>
      <c r="E64" s="24">
        <f t="shared" si="52"/>
        <v>23.32</v>
      </c>
      <c r="F64" s="24">
        <f t="shared" si="53"/>
        <v>22.800000000000004</v>
      </c>
      <c r="G64" s="24">
        <f t="shared" si="54"/>
        <v>22.280000000000008</v>
      </c>
      <c r="H64" s="24">
        <f t="shared" si="55"/>
        <v>21.760000000000012</v>
      </c>
      <c r="I64" s="24">
        <f t="shared" si="56"/>
        <v>21.371999999999996</v>
      </c>
      <c r="J64" s="24">
        <f t="shared" si="57"/>
        <v>20.984000000000012</v>
      </c>
      <c r="K64" s="24">
        <f t="shared" si="58"/>
        <v>20.595999999999997</v>
      </c>
      <c r="L64" s="24">
        <f t="shared" si="59"/>
        <v>20.208000000000013</v>
      </c>
      <c r="M64" s="25">
        <f t="shared" si="60"/>
        <v>19.819999999999997</v>
      </c>
    </row>
    <row r="65" spans="1:13">
      <c r="A65" s="21">
        <v>59</v>
      </c>
      <c r="B65" s="24">
        <f t="shared" si="49"/>
        <v>25.076666666666657</v>
      </c>
      <c r="C65" s="24">
        <f t="shared" si="50"/>
        <v>24.503333333333327</v>
      </c>
      <c r="D65" s="24">
        <f t="shared" si="51"/>
        <v>23.979999999999997</v>
      </c>
      <c r="E65" s="24">
        <f t="shared" si="52"/>
        <v>23.456666666666667</v>
      </c>
      <c r="F65" s="24">
        <f t="shared" si="53"/>
        <v>22.933333333333337</v>
      </c>
      <c r="G65" s="24">
        <f t="shared" si="54"/>
        <v>22.410000000000007</v>
      </c>
      <c r="H65" s="24">
        <f t="shared" si="55"/>
        <v>21.886666666666677</v>
      </c>
      <c r="I65" s="24">
        <f t="shared" si="56"/>
        <v>21.49733333333333</v>
      </c>
      <c r="J65" s="24">
        <f t="shared" si="57"/>
        <v>21.108000000000011</v>
      </c>
      <c r="K65" s="24">
        <f t="shared" si="58"/>
        <v>20.718666666666664</v>
      </c>
      <c r="L65" s="24">
        <f t="shared" si="59"/>
        <v>20.329333333333345</v>
      </c>
      <c r="M65" s="25">
        <f t="shared" si="60"/>
        <v>19.939999999999998</v>
      </c>
    </row>
    <row r="66" spans="1:13">
      <c r="A66" s="21">
        <v>60</v>
      </c>
      <c r="B66" s="24">
        <f t="shared" si="49"/>
        <v>25.223333333333326</v>
      </c>
      <c r="C66" s="24">
        <f t="shared" si="50"/>
        <v>24.646666666666661</v>
      </c>
      <c r="D66" s="24">
        <f t="shared" si="51"/>
        <v>24.119999999999997</v>
      </c>
      <c r="E66" s="24">
        <f t="shared" si="52"/>
        <v>23.593333333333334</v>
      </c>
      <c r="F66" s="24">
        <f t="shared" si="53"/>
        <v>23.06666666666667</v>
      </c>
      <c r="G66" s="24">
        <f t="shared" si="54"/>
        <v>22.540000000000006</v>
      </c>
      <c r="H66" s="24">
        <f t="shared" si="55"/>
        <v>22.013333333333343</v>
      </c>
      <c r="I66" s="24">
        <f t="shared" si="56"/>
        <v>21.622666666666664</v>
      </c>
      <c r="J66" s="24">
        <f t="shared" si="57"/>
        <v>21.23200000000001</v>
      </c>
      <c r="K66" s="24">
        <f t="shared" si="58"/>
        <v>20.841333333333331</v>
      </c>
      <c r="L66" s="24">
        <f t="shared" si="59"/>
        <v>20.450666666666677</v>
      </c>
      <c r="M66" s="25">
        <f t="shared" si="60"/>
        <v>20.059999999999999</v>
      </c>
    </row>
    <row r="67" spans="1:13">
      <c r="A67" s="21">
        <v>61</v>
      </c>
      <c r="B67" s="24">
        <f t="shared" si="49"/>
        <v>25.369999999999994</v>
      </c>
      <c r="C67" s="24">
        <f t="shared" si="50"/>
        <v>24.789999999999996</v>
      </c>
      <c r="D67" s="24">
        <f t="shared" si="51"/>
        <v>24.259999999999998</v>
      </c>
      <c r="E67" s="24">
        <f t="shared" si="52"/>
        <v>23.73</v>
      </c>
      <c r="F67" s="24">
        <f t="shared" si="53"/>
        <v>23.200000000000003</v>
      </c>
      <c r="G67" s="24">
        <f t="shared" si="54"/>
        <v>22.670000000000005</v>
      </c>
      <c r="H67" s="24">
        <f t="shared" si="55"/>
        <v>22.140000000000008</v>
      </c>
      <c r="I67" s="24">
        <f t="shared" si="56"/>
        <v>21.747999999999998</v>
      </c>
      <c r="J67" s="24">
        <f t="shared" si="57"/>
        <v>21.356000000000009</v>
      </c>
      <c r="K67" s="24">
        <f t="shared" si="58"/>
        <v>20.963999999999999</v>
      </c>
      <c r="L67" s="24">
        <f t="shared" si="59"/>
        <v>20.57200000000001</v>
      </c>
      <c r="M67" s="25">
        <f t="shared" si="60"/>
        <v>20.18</v>
      </c>
    </row>
    <row r="68" spans="1:13">
      <c r="A68" s="21">
        <v>62</v>
      </c>
      <c r="B68" s="24">
        <f t="shared" si="49"/>
        <v>25.516666666666662</v>
      </c>
      <c r="C68" s="24">
        <f t="shared" si="50"/>
        <v>24.93333333333333</v>
      </c>
      <c r="D68" s="24">
        <f t="shared" si="51"/>
        <v>24.4</v>
      </c>
      <c r="E68" s="24">
        <f t="shared" si="52"/>
        <v>23.866666666666667</v>
      </c>
      <c r="F68" s="24">
        <f t="shared" si="53"/>
        <v>23.333333333333336</v>
      </c>
      <c r="G68" s="24">
        <f t="shared" si="54"/>
        <v>22.800000000000004</v>
      </c>
      <c r="H68" s="24">
        <f t="shared" si="55"/>
        <v>22.266666666666673</v>
      </c>
      <c r="I68" s="24">
        <f t="shared" si="56"/>
        <v>21.873333333333331</v>
      </c>
      <c r="J68" s="24">
        <f t="shared" si="57"/>
        <v>21.480000000000008</v>
      </c>
      <c r="K68" s="24">
        <f t="shared" si="58"/>
        <v>21.086666666666666</v>
      </c>
      <c r="L68" s="24">
        <f t="shared" si="59"/>
        <v>20.693333333333342</v>
      </c>
      <c r="M68" s="25">
        <f t="shared" si="60"/>
        <v>20.3</v>
      </c>
    </row>
    <row r="69" spans="1:13">
      <c r="A69" s="21">
        <v>63</v>
      </c>
      <c r="B69" s="24">
        <f t="shared" si="49"/>
        <v>25.66333333333333</v>
      </c>
      <c r="C69" s="24">
        <f t="shared" si="50"/>
        <v>25.076666666666664</v>
      </c>
      <c r="D69" s="24">
        <f t="shared" si="51"/>
        <v>24.54</v>
      </c>
      <c r="E69" s="24">
        <f t="shared" si="52"/>
        <v>24.003333333333334</v>
      </c>
      <c r="F69" s="24">
        <f t="shared" si="53"/>
        <v>23.466666666666669</v>
      </c>
      <c r="G69" s="24">
        <f t="shared" si="54"/>
        <v>22.930000000000003</v>
      </c>
      <c r="H69" s="24">
        <f t="shared" si="55"/>
        <v>22.393333333333338</v>
      </c>
      <c r="I69" s="24">
        <f t="shared" si="56"/>
        <v>21.998666666666665</v>
      </c>
      <c r="J69" s="24">
        <f t="shared" si="57"/>
        <v>21.604000000000006</v>
      </c>
      <c r="K69" s="24">
        <f t="shared" si="58"/>
        <v>21.209333333333333</v>
      </c>
      <c r="L69" s="24">
        <f t="shared" si="59"/>
        <v>20.814666666666675</v>
      </c>
      <c r="M69" s="25">
        <f t="shared" si="60"/>
        <v>20.420000000000002</v>
      </c>
    </row>
    <row r="70" spans="1:13">
      <c r="A70" s="21">
        <v>64</v>
      </c>
      <c r="B70" s="24">
        <f t="shared" si="49"/>
        <v>25.81</v>
      </c>
      <c r="C70" s="24">
        <f t="shared" si="50"/>
        <v>25.22</v>
      </c>
      <c r="D70" s="24">
        <f t="shared" si="51"/>
        <v>24.68</v>
      </c>
      <c r="E70" s="24">
        <f t="shared" si="52"/>
        <v>24.14</v>
      </c>
      <c r="F70" s="24">
        <f t="shared" si="53"/>
        <v>23.6</v>
      </c>
      <c r="G70" s="24">
        <f t="shared" si="54"/>
        <v>23.060000000000002</v>
      </c>
      <c r="H70" s="24">
        <f t="shared" si="55"/>
        <v>22.520000000000003</v>
      </c>
      <c r="I70" s="24">
        <f t="shared" si="56"/>
        <v>22.123999999999999</v>
      </c>
      <c r="J70" s="24">
        <f t="shared" si="57"/>
        <v>21.728000000000005</v>
      </c>
      <c r="K70" s="24">
        <f t="shared" si="58"/>
        <v>21.332000000000001</v>
      </c>
      <c r="L70" s="24">
        <f t="shared" si="59"/>
        <v>20.936000000000007</v>
      </c>
      <c r="M70" s="25">
        <f t="shared" si="60"/>
        <v>20.540000000000003</v>
      </c>
    </row>
    <row r="71" spans="1:13">
      <c r="A71" s="21">
        <v>65</v>
      </c>
      <c r="B71" s="24">
        <f t="shared" si="49"/>
        <v>25.956666666666667</v>
      </c>
      <c r="C71" s="24">
        <f t="shared" si="50"/>
        <v>25.363333333333333</v>
      </c>
      <c r="D71" s="24">
        <f t="shared" si="51"/>
        <v>24.82</v>
      </c>
      <c r="E71" s="24">
        <f t="shared" si="52"/>
        <v>24.276666666666667</v>
      </c>
      <c r="F71" s="24">
        <f t="shared" si="53"/>
        <v>23.733333333333334</v>
      </c>
      <c r="G71" s="24">
        <f t="shared" si="54"/>
        <v>23.19</v>
      </c>
      <c r="H71" s="24">
        <f t="shared" si="55"/>
        <v>22.646666666666668</v>
      </c>
      <c r="I71" s="24">
        <f t="shared" si="56"/>
        <v>22.249333333333333</v>
      </c>
      <c r="J71" s="24">
        <f t="shared" si="57"/>
        <v>21.852000000000004</v>
      </c>
      <c r="K71" s="24">
        <f t="shared" si="58"/>
        <v>21.454666666666668</v>
      </c>
      <c r="L71" s="24">
        <f t="shared" si="59"/>
        <v>21.057333333333339</v>
      </c>
      <c r="M71" s="25">
        <f t="shared" si="60"/>
        <v>20.660000000000004</v>
      </c>
    </row>
    <row r="72" spans="1:13">
      <c r="A72" s="21">
        <v>66</v>
      </c>
      <c r="B72" s="24">
        <f t="shared" si="49"/>
        <v>26.103333333333335</v>
      </c>
      <c r="C72" s="24">
        <f t="shared" si="50"/>
        <v>25.506666666666668</v>
      </c>
      <c r="D72" s="24">
        <f t="shared" si="51"/>
        <v>24.96</v>
      </c>
      <c r="E72" s="24">
        <f t="shared" si="52"/>
        <v>24.413333333333334</v>
      </c>
      <c r="F72" s="24">
        <f t="shared" si="53"/>
        <v>23.866666666666667</v>
      </c>
      <c r="G72" s="24">
        <f t="shared" si="54"/>
        <v>23.32</v>
      </c>
      <c r="H72" s="24">
        <f t="shared" si="55"/>
        <v>22.773333333333333</v>
      </c>
      <c r="I72" s="24">
        <f t="shared" si="56"/>
        <v>22.374666666666666</v>
      </c>
      <c r="J72" s="24">
        <f t="shared" si="57"/>
        <v>21.976000000000003</v>
      </c>
      <c r="K72" s="24">
        <f t="shared" si="58"/>
        <v>21.577333333333335</v>
      </c>
      <c r="L72" s="24">
        <f t="shared" si="59"/>
        <v>21.178666666666672</v>
      </c>
      <c r="M72" s="25">
        <f t="shared" si="60"/>
        <v>20.780000000000005</v>
      </c>
    </row>
    <row r="73" spans="1:13">
      <c r="A73" s="21">
        <v>67</v>
      </c>
      <c r="B73" s="24">
        <f>C73+0.6</f>
        <v>26.250000000000004</v>
      </c>
      <c r="C73" s="24">
        <f>D73+0.55</f>
        <v>25.650000000000002</v>
      </c>
      <c r="D73" s="24">
        <f>E73+0.55</f>
        <v>25.1</v>
      </c>
      <c r="E73" s="24">
        <f>F73+0.55</f>
        <v>24.55</v>
      </c>
      <c r="F73" s="26">
        <v>24</v>
      </c>
      <c r="G73" s="24">
        <f>H73+0.55</f>
        <v>23.45</v>
      </c>
      <c r="H73" s="26">
        <v>22.9</v>
      </c>
      <c r="I73" s="24">
        <f>H73-0.4</f>
        <v>22.5</v>
      </c>
      <c r="J73" s="24">
        <f>I73-0.4</f>
        <v>22.1</v>
      </c>
      <c r="K73" s="24">
        <f>J73-0.4</f>
        <v>21.700000000000003</v>
      </c>
      <c r="L73" s="24">
        <f>K73-0.4</f>
        <v>21.300000000000004</v>
      </c>
      <c r="M73" s="27">
        <f>L73-0.4</f>
        <v>20.900000000000006</v>
      </c>
    </row>
    <row r="74" spans="1:13">
      <c r="A74" s="21">
        <v>68</v>
      </c>
      <c r="B74" s="24">
        <f t="shared" ref="B74:B80" si="61">B75-(($B$81-$B$73)/8)</f>
        <v>26.675000000000011</v>
      </c>
      <c r="C74" s="24">
        <f t="shared" ref="C74:C80" si="62">C75-(($C$81-$C$73)/8)</f>
        <v>26.062500000000011</v>
      </c>
      <c r="D74" s="24">
        <f t="shared" ref="D74:D80" si="63">D75-(($D$81-$D$73)/8)</f>
        <v>25.500000000000007</v>
      </c>
      <c r="E74" s="24">
        <f t="shared" ref="E74:E80" si="64">E75-(($E$81-$E$73)/8)</f>
        <v>24.937500000000004</v>
      </c>
      <c r="F74" s="24">
        <f t="shared" ref="F74:F80" si="65">F75-(($F$81-$F$73)/8)</f>
        <v>24.375</v>
      </c>
      <c r="G74" s="24">
        <f t="shared" ref="G74:G80" si="66">G75-(($G$81-$G$73)/8)</f>
        <v>23.812499999999993</v>
      </c>
      <c r="H74" s="24">
        <f t="shared" ref="H74:H80" si="67">H75-(($H$81-$H$73)/8)</f>
        <v>23.249999999999989</v>
      </c>
      <c r="I74" s="24">
        <f t="shared" ref="I74:I80" si="68">I75-(($I$81-$I$73)/8)</f>
        <v>22.845000000000006</v>
      </c>
      <c r="J74" s="24">
        <f t="shared" ref="J74:J80" si="69">J75-(($J$81-$J$73)/8)</f>
        <v>22.439999999999998</v>
      </c>
      <c r="K74" s="24">
        <f t="shared" ref="K74:K80" si="70">K75-(($K$81-$K$73)/8)</f>
        <v>22.034999999999989</v>
      </c>
      <c r="L74" s="24">
        <f t="shared" ref="L74:L80" si="71">L75-(($L$81-$L$73)/8)</f>
        <v>21.630000000000006</v>
      </c>
      <c r="M74" s="25">
        <f t="shared" ref="M74:M80" si="72">M75-(($M$81-$M$73)/8)</f>
        <v>21.224999999999998</v>
      </c>
    </row>
    <row r="75" spans="1:13">
      <c r="A75" s="21">
        <v>69</v>
      </c>
      <c r="B75" s="24">
        <f t="shared" si="61"/>
        <v>27.100000000000009</v>
      </c>
      <c r="C75" s="24">
        <f t="shared" si="62"/>
        <v>26.475000000000009</v>
      </c>
      <c r="D75" s="24">
        <f t="shared" si="63"/>
        <v>25.900000000000006</v>
      </c>
      <c r="E75" s="24">
        <f t="shared" si="64"/>
        <v>25.325000000000003</v>
      </c>
      <c r="F75" s="24">
        <f t="shared" si="65"/>
        <v>24.75</v>
      </c>
      <c r="G75" s="24">
        <f t="shared" si="66"/>
        <v>24.174999999999994</v>
      </c>
      <c r="H75" s="24">
        <f t="shared" si="67"/>
        <v>23.599999999999991</v>
      </c>
      <c r="I75" s="24">
        <f t="shared" si="68"/>
        <v>23.190000000000005</v>
      </c>
      <c r="J75" s="24">
        <f t="shared" si="69"/>
        <v>22.779999999999998</v>
      </c>
      <c r="K75" s="24">
        <f t="shared" si="70"/>
        <v>22.36999999999999</v>
      </c>
      <c r="L75" s="24">
        <f t="shared" si="71"/>
        <v>21.960000000000004</v>
      </c>
      <c r="M75" s="25">
        <f t="shared" si="72"/>
        <v>21.549999999999997</v>
      </c>
    </row>
    <row r="76" spans="1:13">
      <c r="A76" s="21">
        <v>70</v>
      </c>
      <c r="B76" s="24">
        <f t="shared" si="61"/>
        <v>27.525000000000006</v>
      </c>
      <c r="C76" s="24">
        <f t="shared" si="62"/>
        <v>26.887500000000006</v>
      </c>
      <c r="D76" s="24">
        <f t="shared" si="63"/>
        <v>26.300000000000004</v>
      </c>
      <c r="E76" s="24">
        <f t="shared" si="64"/>
        <v>25.712500000000002</v>
      </c>
      <c r="F76" s="24">
        <f t="shared" si="65"/>
        <v>25.125</v>
      </c>
      <c r="G76" s="24">
        <f t="shared" si="66"/>
        <v>24.537499999999994</v>
      </c>
      <c r="H76" s="24">
        <f t="shared" si="67"/>
        <v>23.949999999999992</v>
      </c>
      <c r="I76" s="24">
        <f t="shared" si="68"/>
        <v>23.535000000000004</v>
      </c>
      <c r="J76" s="24">
        <f t="shared" si="69"/>
        <v>23.119999999999997</v>
      </c>
      <c r="K76" s="24">
        <f t="shared" si="70"/>
        <v>22.704999999999991</v>
      </c>
      <c r="L76" s="24">
        <f t="shared" si="71"/>
        <v>22.290000000000003</v>
      </c>
      <c r="M76" s="25">
        <f t="shared" si="72"/>
        <v>21.874999999999996</v>
      </c>
    </row>
    <row r="77" spans="1:13">
      <c r="A77" s="21">
        <v>71</v>
      </c>
      <c r="B77" s="24">
        <f t="shared" si="61"/>
        <v>27.950000000000003</v>
      </c>
      <c r="C77" s="24">
        <f t="shared" si="62"/>
        <v>27.300000000000004</v>
      </c>
      <c r="D77" s="24">
        <f t="shared" si="63"/>
        <v>26.700000000000003</v>
      </c>
      <c r="E77" s="24">
        <f t="shared" si="64"/>
        <v>26.1</v>
      </c>
      <c r="F77" s="24">
        <f t="shared" si="65"/>
        <v>25.5</v>
      </c>
      <c r="G77" s="24">
        <f t="shared" si="66"/>
        <v>24.899999999999995</v>
      </c>
      <c r="H77" s="24">
        <f t="shared" si="67"/>
        <v>24.299999999999994</v>
      </c>
      <c r="I77" s="24">
        <f t="shared" si="68"/>
        <v>23.880000000000003</v>
      </c>
      <c r="J77" s="24">
        <f t="shared" si="69"/>
        <v>23.459999999999997</v>
      </c>
      <c r="K77" s="24">
        <f t="shared" si="70"/>
        <v>23.039999999999992</v>
      </c>
      <c r="L77" s="24">
        <f t="shared" si="71"/>
        <v>22.62</v>
      </c>
      <c r="M77" s="25">
        <f t="shared" si="72"/>
        <v>22.199999999999996</v>
      </c>
    </row>
    <row r="78" spans="1:13">
      <c r="A78" s="21">
        <v>72</v>
      </c>
      <c r="B78" s="24">
        <f t="shared" si="61"/>
        <v>28.375</v>
      </c>
      <c r="C78" s="24">
        <f t="shared" si="62"/>
        <v>27.712500000000002</v>
      </c>
      <c r="D78" s="24">
        <f t="shared" si="63"/>
        <v>27.1</v>
      </c>
      <c r="E78" s="24">
        <f t="shared" si="64"/>
        <v>26.487500000000001</v>
      </c>
      <c r="F78" s="24">
        <f t="shared" si="65"/>
        <v>25.875</v>
      </c>
      <c r="G78" s="24">
        <f t="shared" si="66"/>
        <v>25.262499999999996</v>
      </c>
      <c r="H78" s="24">
        <f t="shared" si="67"/>
        <v>24.649999999999995</v>
      </c>
      <c r="I78" s="24">
        <f t="shared" si="68"/>
        <v>24.225000000000001</v>
      </c>
      <c r="J78" s="24">
        <f t="shared" si="69"/>
        <v>23.799999999999997</v>
      </c>
      <c r="K78" s="24">
        <f t="shared" si="70"/>
        <v>23.374999999999993</v>
      </c>
      <c r="L78" s="24">
        <f t="shared" si="71"/>
        <v>22.95</v>
      </c>
      <c r="M78" s="25">
        <f t="shared" si="72"/>
        <v>22.524999999999995</v>
      </c>
    </row>
    <row r="79" spans="1:13">
      <c r="A79" s="21">
        <v>73</v>
      </c>
      <c r="B79" s="24">
        <f t="shared" si="61"/>
        <v>28.799999999999997</v>
      </c>
      <c r="C79" s="24">
        <f t="shared" si="62"/>
        <v>28.125</v>
      </c>
      <c r="D79" s="24">
        <f t="shared" si="63"/>
        <v>27.5</v>
      </c>
      <c r="E79" s="24">
        <f t="shared" si="64"/>
        <v>26.875</v>
      </c>
      <c r="F79" s="24">
        <f t="shared" si="65"/>
        <v>26.25</v>
      </c>
      <c r="G79" s="24">
        <f t="shared" si="66"/>
        <v>25.624999999999996</v>
      </c>
      <c r="H79" s="24">
        <f t="shared" si="67"/>
        <v>24.999999999999996</v>
      </c>
      <c r="I79" s="24">
        <f t="shared" si="68"/>
        <v>24.57</v>
      </c>
      <c r="J79" s="24">
        <f t="shared" si="69"/>
        <v>24.139999999999997</v>
      </c>
      <c r="K79" s="24">
        <f t="shared" si="70"/>
        <v>23.709999999999994</v>
      </c>
      <c r="L79" s="24">
        <f t="shared" si="71"/>
        <v>23.279999999999998</v>
      </c>
      <c r="M79" s="25">
        <f t="shared" si="72"/>
        <v>22.849999999999994</v>
      </c>
    </row>
    <row r="80" spans="1:13">
      <c r="A80" s="21">
        <v>74</v>
      </c>
      <c r="B80" s="24">
        <f t="shared" si="61"/>
        <v>29.224999999999994</v>
      </c>
      <c r="C80" s="24">
        <f t="shared" si="62"/>
        <v>28.537499999999998</v>
      </c>
      <c r="D80" s="24">
        <f t="shared" si="63"/>
        <v>27.9</v>
      </c>
      <c r="E80" s="24">
        <f t="shared" si="64"/>
        <v>27.262499999999999</v>
      </c>
      <c r="F80" s="24">
        <f t="shared" si="65"/>
        <v>26.625</v>
      </c>
      <c r="G80" s="24">
        <f t="shared" si="66"/>
        <v>25.987499999999997</v>
      </c>
      <c r="H80" s="24">
        <f t="shared" si="67"/>
        <v>25.349999999999998</v>
      </c>
      <c r="I80" s="24">
        <f t="shared" si="68"/>
        <v>24.914999999999999</v>
      </c>
      <c r="J80" s="24">
        <f t="shared" si="69"/>
        <v>24.479999999999997</v>
      </c>
      <c r="K80" s="24">
        <f t="shared" si="70"/>
        <v>24.044999999999995</v>
      </c>
      <c r="L80" s="24">
        <f t="shared" si="71"/>
        <v>23.609999999999996</v>
      </c>
      <c r="M80" s="25">
        <f t="shared" si="72"/>
        <v>23.174999999999994</v>
      </c>
    </row>
    <row r="81" spans="1:13">
      <c r="A81" s="30">
        <v>75</v>
      </c>
      <c r="B81" s="31">
        <f>C81+0.7</f>
        <v>29.649999999999995</v>
      </c>
      <c r="C81" s="31">
        <f>D81+0.65</f>
        <v>28.949999999999996</v>
      </c>
      <c r="D81" s="31">
        <f>E81+0.65</f>
        <v>28.299999999999997</v>
      </c>
      <c r="E81" s="31">
        <f>F81+0.65</f>
        <v>27.65</v>
      </c>
      <c r="F81" s="32">
        <v>27</v>
      </c>
      <c r="G81" s="31">
        <f>H81+0.65</f>
        <v>26.349999999999998</v>
      </c>
      <c r="H81" s="32">
        <v>25.7</v>
      </c>
      <c r="I81" s="31">
        <f>H81-0.44</f>
        <v>25.259999999999998</v>
      </c>
      <c r="J81" s="31">
        <f>I81-0.44</f>
        <v>24.819999999999997</v>
      </c>
      <c r="K81" s="31">
        <f>J81-0.44</f>
        <v>24.379999999999995</v>
      </c>
      <c r="L81" s="31">
        <f>K81-0.44</f>
        <v>23.939999999999994</v>
      </c>
      <c r="M81" s="33">
        <f>L81-0.44</f>
        <v>23.499999999999993</v>
      </c>
    </row>
    <row r="82" spans="1:13">
      <c r="A82" s="21">
        <v>76</v>
      </c>
    </row>
    <row r="83" spans="1:13">
      <c r="A83" s="21">
        <v>77</v>
      </c>
    </row>
    <row r="84" spans="1:13">
      <c r="A84" s="30">
        <v>78</v>
      </c>
    </row>
    <row r="85" spans="1:13">
      <c r="A85" s="21">
        <v>79</v>
      </c>
    </row>
    <row r="86" spans="1:13">
      <c r="A86" s="21">
        <v>80</v>
      </c>
    </row>
    <row r="87" spans="1:13">
      <c r="A87" s="30">
        <v>81</v>
      </c>
    </row>
    <row r="88" spans="1:13">
      <c r="A88" s="21">
        <v>82</v>
      </c>
    </row>
    <row r="89" spans="1:13">
      <c r="A89" s="21">
        <v>83</v>
      </c>
    </row>
    <row r="90" spans="1:13">
      <c r="A90" s="30">
        <v>84</v>
      </c>
    </row>
    <row r="91" spans="1:13">
      <c r="A91" s="21">
        <v>85</v>
      </c>
    </row>
    <row r="92" spans="1:13">
      <c r="A92" s="21">
        <v>86</v>
      </c>
    </row>
    <row r="93" spans="1:13">
      <c r="A93" s="30">
        <v>87</v>
      </c>
    </row>
    <row r="94" spans="1:13">
      <c r="A94" s="21">
        <v>88</v>
      </c>
    </row>
    <row r="95" spans="1:13">
      <c r="A95" s="21">
        <v>89</v>
      </c>
    </row>
    <row r="96" spans="1:13">
      <c r="A96" s="30">
        <v>90</v>
      </c>
    </row>
    <row r="97" spans="1:8">
      <c r="A97" s="21">
        <v>91</v>
      </c>
    </row>
    <row r="98" spans="1:8">
      <c r="A98" s="21">
        <v>92</v>
      </c>
    </row>
    <row r="99" spans="1:8">
      <c r="A99" s="30">
        <v>93</v>
      </c>
    </row>
    <row r="100" spans="1:8">
      <c r="A100" s="21">
        <v>94</v>
      </c>
    </row>
    <row r="101" spans="1:8">
      <c r="A101" s="21">
        <v>95</v>
      </c>
    </row>
    <row r="102" spans="1:8">
      <c r="A102" s="30">
        <v>96</v>
      </c>
    </row>
    <row r="103" spans="1:8">
      <c r="A103" s="21">
        <v>97</v>
      </c>
    </row>
    <row r="104" spans="1:8">
      <c r="A104" s="21">
        <v>98</v>
      </c>
    </row>
    <row r="105" spans="1:8">
      <c r="A105" s="30">
        <v>99</v>
      </c>
    </row>
    <row r="106" spans="1:8">
      <c r="A106" s="21">
        <v>100</v>
      </c>
    </row>
    <row r="111" spans="1:8" ht="18.75">
      <c r="A111" s="40" t="s">
        <v>4</v>
      </c>
      <c r="B111" s="34"/>
      <c r="G111" s="180" t="s">
        <v>850</v>
      </c>
      <c r="H111" s="179"/>
    </row>
    <row r="112" spans="1:8" ht="30" customHeight="1">
      <c r="A112" s="35" t="s">
        <v>33</v>
      </c>
      <c r="B112" s="35" t="s">
        <v>46</v>
      </c>
      <c r="G112" s="181" t="s">
        <v>848</v>
      </c>
      <c r="H112" s="181" t="s">
        <v>849</v>
      </c>
    </row>
    <row r="113" spans="1:9" ht="15" customHeight="1">
      <c r="A113" s="36" t="s">
        <v>5</v>
      </c>
      <c r="B113" s="36" t="s">
        <v>45</v>
      </c>
      <c r="G113" s="182">
        <v>0</v>
      </c>
      <c r="H113" s="183">
        <v>3.2</v>
      </c>
      <c r="I113" s="1">
        <v>23</v>
      </c>
    </row>
    <row r="114" spans="1:9">
      <c r="A114" s="37">
        <v>7</v>
      </c>
      <c r="B114" s="38">
        <f t="shared" ref="B114:B125" si="73">(A114*4)+1000</f>
        <v>1028</v>
      </c>
      <c r="G114" s="182">
        <v>1</v>
      </c>
      <c r="H114" s="183">
        <v>3.1</v>
      </c>
    </row>
    <row r="115" spans="1:9">
      <c r="A115" s="37">
        <v>8</v>
      </c>
      <c r="B115" s="38">
        <f t="shared" si="73"/>
        <v>1032</v>
      </c>
      <c r="G115" s="182">
        <v>2</v>
      </c>
      <c r="H115" s="183">
        <v>3</v>
      </c>
    </row>
    <row r="116" spans="1:9">
      <c r="A116" s="37">
        <v>9</v>
      </c>
      <c r="B116" s="38">
        <f t="shared" si="73"/>
        <v>1036</v>
      </c>
      <c r="G116" s="182">
        <v>3</v>
      </c>
      <c r="H116" s="183">
        <v>2.9</v>
      </c>
    </row>
    <row r="117" spans="1:9">
      <c r="A117" s="37">
        <v>10</v>
      </c>
      <c r="B117" s="38">
        <f t="shared" si="73"/>
        <v>1040</v>
      </c>
      <c r="G117" s="182">
        <v>4</v>
      </c>
      <c r="H117" s="183">
        <v>2.8</v>
      </c>
    </row>
    <row r="118" spans="1:9">
      <c r="A118" s="37">
        <v>11</v>
      </c>
      <c r="B118" s="38">
        <f t="shared" si="73"/>
        <v>1044</v>
      </c>
      <c r="G118" s="182">
        <v>5</v>
      </c>
      <c r="H118" s="183">
        <v>2.7</v>
      </c>
    </row>
    <row r="119" spans="1:9">
      <c r="A119" s="37">
        <v>12</v>
      </c>
      <c r="B119" s="38">
        <f t="shared" si="73"/>
        <v>1048</v>
      </c>
      <c r="G119" s="182">
        <v>6</v>
      </c>
      <c r="H119" s="183">
        <v>2.6</v>
      </c>
    </row>
    <row r="120" spans="1:9">
      <c r="A120" s="37">
        <v>13</v>
      </c>
      <c r="B120" s="38">
        <f t="shared" si="73"/>
        <v>1052</v>
      </c>
      <c r="G120" s="182">
        <v>7</v>
      </c>
      <c r="H120" s="183">
        <v>2.5249999999999999</v>
      </c>
    </row>
    <row r="121" spans="1:9">
      <c r="A121" s="37">
        <v>14</v>
      </c>
      <c r="B121" s="38">
        <f t="shared" si="73"/>
        <v>1056</v>
      </c>
      <c r="G121" s="182">
        <v>8</v>
      </c>
      <c r="H121" s="183">
        <v>2.4500000000000002</v>
      </c>
    </row>
    <row r="122" spans="1:9">
      <c r="A122" s="37">
        <v>15</v>
      </c>
      <c r="B122" s="38">
        <f t="shared" si="73"/>
        <v>1060</v>
      </c>
      <c r="G122" s="182">
        <v>9</v>
      </c>
      <c r="H122" s="183">
        <v>2.375</v>
      </c>
    </row>
    <row r="123" spans="1:9">
      <c r="A123" s="37">
        <v>16</v>
      </c>
      <c r="B123" s="38">
        <f t="shared" si="73"/>
        <v>1064</v>
      </c>
      <c r="G123" s="182">
        <v>10</v>
      </c>
      <c r="H123" s="183">
        <v>2.2999999999999998</v>
      </c>
    </row>
    <row r="124" spans="1:9">
      <c r="A124" s="37">
        <v>17</v>
      </c>
      <c r="B124" s="38">
        <f t="shared" si="73"/>
        <v>1068</v>
      </c>
      <c r="G124" s="182">
        <v>11</v>
      </c>
      <c r="H124" s="183">
        <v>2.2250000000000001</v>
      </c>
    </row>
    <row r="125" spans="1:9">
      <c r="A125" s="37">
        <v>18</v>
      </c>
      <c r="B125" s="38">
        <f t="shared" si="73"/>
        <v>1072</v>
      </c>
      <c r="G125" s="182">
        <v>12</v>
      </c>
      <c r="H125" s="183">
        <v>2.15</v>
      </c>
    </row>
    <row r="126" spans="1:9">
      <c r="A126" s="39" t="s">
        <v>47</v>
      </c>
      <c r="G126" s="182">
        <v>13</v>
      </c>
      <c r="H126" s="183">
        <v>2.0699999999999998</v>
      </c>
    </row>
    <row r="127" spans="1:9">
      <c r="G127" s="182">
        <v>14</v>
      </c>
      <c r="H127" s="183">
        <v>2</v>
      </c>
    </row>
    <row r="128" spans="1:9">
      <c r="G128" s="182">
        <v>15</v>
      </c>
      <c r="H128" s="183">
        <v>1.95</v>
      </c>
    </row>
    <row r="129" spans="1:19">
      <c r="G129" s="182">
        <v>16</v>
      </c>
      <c r="H129" s="183">
        <v>1.9</v>
      </c>
    </row>
    <row r="130" spans="1:19">
      <c r="G130" s="182">
        <v>17</v>
      </c>
      <c r="H130" s="183">
        <v>1.8</v>
      </c>
    </row>
    <row r="131" spans="1:19">
      <c r="G131" s="182">
        <v>18</v>
      </c>
      <c r="H131" s="183">
        <v>1.75</v>
      </c>
    </row>
    <row r="132" spans="1:19">
      <c r="G132" s="182">
        <v>19</v>
      </c>
      <c r="H132" s="183">
        <v>1.7</v>
      </c>
    </row>
    <row r="133" spans="1:19">
      <c r="G133" s="182">
        <v>20</v>
      </c>
      <c r="H133" s="183">
        <v>1.65</v>
      </c>
    </row>
    <row r="134" spans="1:19">
      <c r="G134" s="182">
        <v>21</v>
      </c>
      <c r="H134" s="183">
        <v>1.62</v>
      </c>
    </row>
    <row r="135" spans="1:19">
      <c r="G135" s="182">
        <v>22</v>
      </c>
      <c r="H135" s="183">
        <v>1.6</v>
      </c>
    </row>
    <row r="141" spans="1:19" ht="16.5">
      <c r="A141" s="205" t="s">
        <v>866</v>
      </c>
      <c r="B141" s="194"/>
      <c r="C141" s="194"/>
      <c r="D141" s="194"/>
      <c r="E141" s="194"/>
      <c r="F141" s="194"/>
      <c r="G141" s="194"/>
      <c r="H141" s="194"/>
      <c r="I141" s="194"/>
      <c r="J141" s="194"/>
      <c r="K141" s="194"/>
      <c r="L141" s="194"/>
      <c r="M141" s="194"/>
      <c r="N141" s="194"/>
      <c r="O141" s="194"/>
      <c r="P141" s="194"/>
      <c r="Q141" s="194"/>
      <c r="R141" s="194"/>
      <c r="S141" s="194"/>
    </row>
    <row r="143" spans="1:19" ht="14.25">
      <c r="A143" s="195" t="s">
        <v>1589</v>
      </c>
      <c r="B143" s="196" t="s">
        <v>867</v>
      </c>
      <c r="C143" s="197"/>
      <c r="D143" s="197"/>
      <c r="E143" s="197"/>
      <c r="F143" s="197"/>
      <c r="G143" s="197"/>
      <c r="H143" s="197"/>
      <c r="I143" s="197"/>
      <c r="J143" s="197"/>
      <c r="K143" s="197"/>
      <c r="L143" s="197"/>
      <c r="M143" s="197"/>
      <c r="N143" s="197"/>
      <c r="O143" s="197"/>
      <c r="P143" s="197"/>
      <c r="Q143" s="197"/>
      <c r="R143" s="197"/>
      <c r="S143" s="197"/>
    </row>
    <row r="144" spans="1:19" ht="14.25">
      <c r="A144" s="195" t="s">
        <v>1590</v>
      </c>
      <c r="B144" s="196" t="s">
        <v>868</v>
      </c>
      <c r="C144" s="197"/>
      <c r="D144" s="197"/>
      <c r="E144" s="197"/>
      <c r="F144" s="197"/>
      <c r="G144" s="197"/>
      <c r="H144" s="197"/>
      <c r="I144" s="197"/>
      <c r="J144" s="197"/>
      <c r="K144" s="197"/>
      <c r="L144" s="197"/>
      <c r="M144" s="197"/>
      <c r="N144" s="197"/>
      <c r="O144" s="197"/>
      <c r="P144" s="197"/>
      <c r="Q144" s="197"/>
      <c r="R144" s="197"/>
      <c r="S144" s="197"/>
    </row>
    <row r="145" spans="1:19" ht="14.25">
      <c r="A145" s="195" t="s">
        <v>1591</v>
      </c>
      <c r="B145" s="196" t="s">
        <v>869</v>
      </c>
      <c r="C145" s="197"/>
      <c r="D145" s="197"/>
      <c r="E145" s="197"/>
      <c r="F145" s="197"/>
      <c r="G145" s="197"/>
      <c r="H145" s="197"/>
      <c r="I145" s="197"/>
      <c r="J145" s="197"/>
      <c r="K145" s="197"/>
      <c r="L145" s="197"/>
      <c r="M145" s="197"/>
      <c r="N145" s="197"/>
      <c r="O145" s="197"/>
      <c r="P145" s="197"/>
      <c r="Q145" s="197"/>
      <c r="R145" s="197"/>
      <c r="S145" s="197"/>
    </row>
    <row r="146" spans="1:19">
      <c r="A146" s="195" t="s">
        <v>870</v>
      </c>
      <c r="B146" s="196" t="s">
        <v>871</v>
      </c>
      <c r="C146" s="197"/>
      <c r="D146" s="197"/>
      <c r="E146" s="197"/>
      <c r="F146" s="197"/>
      <c r="G146" s="197"/>
      <c r="H146" s="197"/>
      <c r="I146" s="197"/>
      <c r="J146" s="197"/>
      <c r="K146" s="197"/>
      <c r="L146" s="197"/>
      <c r="M146" s="197"/>
      <c r="N146" s="197"/>
      <c r="O146" s="197"/>
      <c r="P146" s="197"/>
      <c r="Q146" s="197"/>
      <c r="R146" s="197"/>
      <c r="S146" s="197"/>
    </row>
    <row r="147" spans="1:19">
      <c r="A147" s="198"/>
      <c r="B147" s="198"/>
      <c r="C147" s="198"/>
      <c r="D147" s="199"/>
      <c r="E147" s="198"/>
      <c r="F147" s="199"/>
      <c r="G147" s="199"/>
      <c r="H147" s="198"/>
      <c r="I147" s="199"/>
      <c r="J147" s="200"/>
      <c r="K147" s="198"/>
      <c r="L147" s="199"/>
      <c r="M147" s="199"/>
      <c r="N147" s="197"/>
      <c r="O147" s="197"/>
      <c r="P147" s="197"/>
      <c r="Q147" s="197"/>
      <c r="R147" s="197"/>
      <c r="S147" s="197"/>
    </row>
    <row r="148" spans="1:19" ht="14.25">
      <c r="A148" s="201" t="s">
        <v>714</v>
      </c>
      <c r="B148" s="201" t="s">
        <v>1592</v>
      </c>
      <c r="C148" s="201" t="s">
        <v>1593</v>
      </c>
      <c r="D148" s="201" t="s">
        <v>872</v>
      </c>
      <c r="E148" s="197"/>
      <c r="F148" s="201" t="s">
        <v>714</v>
      </c>
      <c r="G148" s="201" t="s">
        <v>1592</v>
      </c>
      <c r="H148" s="201" t="s">
        <v>1593</v>
      </c>
      <c r="I148" s="201" t="s">
        <v>872</v>
      </c>
      <c r="J148" s="197"/>
      <c r="K148" s="201" t="s">
        <v>714</v>
      </c>
      <c r="L148" s="201" t="s">
        <v>1592</v>
      </c>
      <c r="M148" s="201" t="s">
        <v>1593</v>
      </c>
      <c r="N148" s="201" t="s">
        <v>872</v>
      </c>
      <c r="O148" s="197"/>
      <c r="P148" s="201" t="s">
        <v>714</v>
      </c>
      <c r="Q148" s="201" t="s">
        <v>1592</v>
      </c>
      <c r="R148" s="201" t="s">
        <v>1593</v>
      </c>
      <c r="S148" s="201" t="s">
        <v>872</v>
      </c>
    </row>
    <row r="149" spans="1:19">
      <c r="A149" s="202" t="s">
        <v>873</v>
      </c>
      <c r="B149" s="202" t="s">
        <v>874</v>
      </c>
      <c r="C149" s="202" t="s">
        <v>874</v>
      </c>
      <c r="D149" s="202" t="s">
        <v>874</v>
      </c>
      <c r="E149" s="197"/>
      <c r="F149" s="202" t="s">
        <v>875</v>
      </c>
      <c r="G149" s="202" t="s">
        <v>876</v>
      </c>
      <c r="H149" s="202" t="s">
        <v>877</v>
      </c>
      <c r="I149" s="202" t="s">
        <v>878</v>
      </c>
      <c r="J149" s="197"/>
      <c r="K149" s="202" t="s">
        <v>879</v>
      </c>
      <c r="L149" s="202" t="s">
        <v>880</v>
      </c>
      <c r="M149" s="202" t="s">
        <v>881</v>
      </c>
      <c r="N149" s="202" t="s">
        <v>882</v>
      </c>
      <c r="O149" s="197"/>
      <c r="P149" s="202" t="s">
        <v>883</v>
      </c>
      <c r="Q149" s="202" t="s">
        <v>884</v>
      </c>
      <c r="R149" s="202" t="s">
        <v>885</v>
      </c>
      <c r="S149" s="202" t="s">
        <v>886</v>
      </c>
    </row>
    <row r="150" spans="1:19">
      <c r="A150" s="202" t="s">
        <v>887</v>
      </c>
      <c r="B150" s="202" t="s">
        <v>888</v>
      </c>
      <c r="C150" s="202" t="s">
        <v>888</v>
      </c>
      <c r="D150" s="202" t="s">
        <v>888</v>
      </c>
      <c r="E150" s="197"/>
      <c r="F150" s="202" t="s">
        <v>889</v>
      </c>
      <c r="G150" s="202" t="s">
        <v>890</v>
      </c>
      <c r="H150" s="202" t="s">
        <v>891</v>
      </c>
      <c r="I150" s="202" t="s">
        <v>892</v>
      </c>
      <c r="J150" s="197"/>
      <c r="K150" s="202" t="s">
        <v>893</v>
      </c>
      <c r="L150" s="202" t="s">
        <v>894</v>
      </c>
      <c r="M150" s="202" t="s">
        <v>895</v>
      </c>
      <c r="N150" s="202" t="s">
        <v>896</v>
      </c>
      <c r="O150" s="197"/>
      <c r="P150" s="202" t="s">
        <v>897</v>
      </c>
      <c r="Q150" s="202" t="s">
        <v>898</v>
      </c>
      <c r="R150" s="202" t="s">
        <v>899</v>
      </c>
      <c r="S150" s="202" t="s">
        <v>900</v>
      </c>
    </row>
    <row r="151" spans="1:19">
      <c r="A151" s="202" t="s">
        <v>901</v>
      </c>
      <c r="B151" s="202" t="s">
        <v>902</v>
      </c>
      <c r="C151" s="202" t="s">
        <v>902</v>
      </c>
      <c r="D151" s="202" t="s">
        <v>903</v>
      </c>
      <c r="E151" s="197"/>
      <c r="F151" s="202" t="s">
        <v>904</v>
      </c>
      <c r="G151" s="202" t="s">
        <v>905</v>
      </c>
      <c r="H151" s="202" t="s">
        <v>906</v>
      </c>
      <c r="I151" s="202" t="s">
        <v>890</v>
      </c>
      <c r="J151" s="197"/>
      <c r="K151" s="202" t="s">
        <v>907</v>
      </c>
      <c r="L151" s="202" t="s">
        <v>908</v>
      </c>
      <c r="M151" s="202" t="s">
        <v>909</v>
      </c>
      <c r="N151" s="202" t="s">
        <v>908</v>
      </c>
      <c r="O151" s="197"/>
      <c r="P151" s="202" t="s">
        <v>910</v>
      </c>
      <c r="Q151" s="202" t="s">
        <v>911</v>
      </c>
      <c r="R151" s="202" t="s">
        <v>912</v>
      </c>
      <c r="S151" s="202" t="s">
        <v>913</v>
      </c>
    </row>
    <row r="152" spans="1:19">
      <c r="A152" s="202" t="s">
        <v>914</v>
      </c>
      <c r="B152" s="202" t="s">
        <v>915</v>
      </c>
      <c r="C152" s="202" t="s">
        <v>915</v>
      </c>
      <c r="D152" s="202" t="s">
        <v>916</v>
      </c>
      <c r="E152" s="197"/>
      <c r="F152" s="202" t="s">
        <v>917</v>
      </c>
      <c r="G152" s="202" t="s">
        <v>906</v>
      </c>
      <c r="H152" s="202" t="s">
        <v>918</v>
      </c>
      <c r="I152" s="202" t="s">
        <v>891</v>
      </c>
      <c r="J152" s="197"/>
      <c r="K152" s="202" t="s">
        <v>919</v>
      </c>
      <c r="L152" s="202" t="s">
        <v>920</v>
      </c>
      <c r="M152" s="202" t="s">
        <v>921</v>
      </c>
      <c r="N152" s="202" t="s">
        <v>920</v>
      </c>
      <c r="O152" s="197"/>
      <c r="P152" s="202" t="s">
        <v>922</v>
      </c>
      <c r="Q152" s="202" t="s">
        <v>923</v>
      </c>
      <c r="R152" s="202" t="s">
        <v>924</v>
      </c>
      <c r="S152" s="202" t="s">
        <v>925</v>
      </c>
    </row>
    <row r="153" spans="1:19">
      <c r="A153" s="202" t="s">
        <v>926</v>
      </c>
      <c r="B153" s="202" t="s">
        <v>927</v>
      </c>
      <c r="C153" s="202" t="s">
        <v>927</v>
      </c>
      <c r="D153" s="202" t="s">
        <v>928</v>
      </c>
      <c r="E153" s="197"/>
      <c r="F153" s="202" t="s">
        <v>929</v>
      </c>
      <c r="G153" s="202" t="s">
        <v>918</v>
      </c>
      <c r="H153" s="202" t="s">
        <v>930</v>
      </c>
      <c r="I153" s="202" t="s">
        <v>931</v>
      </c>
      <c r="J153" s="197"/>
      <c r="K153" s="202" t="s">
        <v>932</v>
      </c>
      <c r="L153" s="202" t="s">
        <v>933</v>
      </c>
      <c r="M153" s="202" t="s">
        <v>934</v>
      </c>
      <c r="N153" s="202" t="s">
        <v>933</v>
      </c>
      <c r="O153" s="197"/>
      <c r="P153" s="202" t="s">
        <v>935</v>
      </c>
      <c r="Q153" s="202" t="s">
        <v>936</v>
      </c>
      <c r="R153" s="202" t="s">
        <v>937</v>
      </c>
      <c r="S153" s="202" t="s">
        <v>938</v>
      </c>
    </row>
    <row r="154" spans="1:19">
      <c r="A154" s="202" t="s">
        <v>939</v>
      </c>
      <c r="B154" s="202" t="s">
        <v>940</v>
      </c>
      <c r="C154" s="202" t="s">
        <v>940</v>
      </c>
      <c r="D154" s="202" t="s">
        <v>941</v>
      </c>
      <c r="E154" s="197"/>
      <c r="F154" s="202" t="s">
        <v>942</v>
      </c>
      <c r="G154" s="202" t="s">
        <v>943</v>
      </c>
      <c r="H154" s="202" t="s">
        <v>944</v>
      </c>
      <c r="I154" s="202" t="s">
        <v>918</v>
      </c>
      <c r="J154" s="197"/>
      <c r="K154" s="202" t="s">
        <v>945</v>
      </c>
      <c r="L154" s="202" t="s">
        <v>946</v>
      </c>
      <c r="M154" s="202" t="s">
        <v>947</v>
      </c>
      <c r="N154" s="202" t="s">
        <v>946</v>
      </c>
      <c r="O154" s="197"/>
      <c r="P154" s="202" t="s">
        <v>948</v>
      </c>
      <c r="Q154" s="202" t="s">
        <v>949</v>
      </c>
      <c r="R154" s="202" t="s">
        <v>950</v>
      </c>
      <c r="S154" s="202" t="s">
        <v>951</v>
      </c>
    </row>
    <row r="155" spans="1:19">
      <c r="A155" s="202" t="s">
        <v>952</v>
      </c>
      <c r="B155" s="202" t="s">
        <v>953</v>
      </c>
      <c r="C155" s="202" t="s">
        <v>953</v>
      </c>
      <c r="D155" s="202" t="s">
        <v>954</v>
      </c>
      <c r="E155" s="197"/>
      <c r="F155" s="202" t="s">
        <v>955</v>
      </c>
      <c r="G155" s="202" t="s">
        <v>956</v>
      </c>
      <c r="H155" s="202" t="s">
        <v>957</v>
      </c>
      <c r="I155" s="202" t="s">
        <v>958</v>
      </c>
      <c r="J155" s="197"/>
      <c r="K155" s="202" t="s">
        <v>959</v>
      </c>
      <c r="L155" s="202" t="s">
        <v>909</v>
      </c>
      <c r="M155" s="202" t="s">
        <v>960</v>
      </c>
      <c r="N155" s="202" t="s">
        <v>961</v>
      </c>
      <c r="O155" s="197"/>
      <c r="P155" s="202" t="s">
        <v>962</v>
      </c>
      <c r="Q155" s="202" t="s">
        <v>963</v>
      </c>
      <c r="R155" s="202" t="s">
        <v>964</v>
      </c>
      <c r="S155" s="202" t="s">
        <v>965</v>
      </c>
    </row>
    <row r="156" spans="1:19">
      <c r="A156" s="202" t="s">
        <v>966</v>
      </c>
      <c r="B156" s="202" t="s">
        <v>967</v>
      </c>
      <c r="C156" s="202" t="s">
        <v>967</v>
      </c>
      <c r="D156" s="202" t="s">
        <v>968</v>
      </c>
      <c r="E156" s="197"/>
      <c r="F156" s="202" t="s">
        <v>969</v>
      </c>
      <c r="G156" s="202" t="s">
        <v>970</v>
      </c>
      <c r="H156" s="202" t="s">
        <v>971</v>
      </c>
      <c r="I156" s="202" t="s">
        <v>956</v>
      </c>
      <c r="J156" s="197"/>
      <c r="K156" s="202" t="s">
        <v>972</v>
      </c>
      <c r="L156" s="202" t="s">
        <v>973</v>
      </c>
      <c r="M156" s="202" t="s">
        <v>974</v>
      </c>
      <c r="N156" s="202" t="s">
        <v>921</v>
      </c>
      <c r="O156" s="197"/>
      <c r="P156" s="202" t="s">
        <v>975</v>
      </c>
      <c r="Q156" s="202" t="s">
        <v>976</v>
      </c>
      <c r="R156" s="202" t="s">
        <v>977</v>
      </c>
      <c r="S156" s="202" t="s">
        <v>978</v>
      </c>
    </row>
    <row r="157" spans="1:19">
      <c r="A157" s="202" t="s">
        <v>979</v>
      </c>
      <c r="B157" s="202" t="s">
        <v>980</v>
      </c>
      <c r="C157" s="202" t="s">
        <v>980</v>
      </c>
      <c r="D157" s="202" t="s">
        <v>981</v>
      </c>
      <c r="E157" s="197"/>
      <c r="F157" s="202" t="s">
        <v>982</v>
      </c>
      <c r="G157" s="202" t="s">
        <v>983</v>
      </c>
      <c r="H157" s="202" t="s">
        <v>984</v>
      </c>
      <c r="I157" s="202" t="s">
        <v>985</v>
      </c>
      <c r="J157" s="197"/>
      <c r="K157" s="202" t="s">
        <v>986</v>
      </c>
      <c r="L157" s="202" t="s">
        <v>987</v>
      </c>
      <c r="M157" s="202" t="s">
        <v>988</v>
      </c>
      <c r="N157" s="202" t="s">
        <v>989</v>
      </c>
      <c r="O157" s="197"/>
      <c r="P157" s="202" t="s">
        <v>990</v>
      </c>
      <c r="Q157" s="202" t="s">
        <v>991</v>
      </c>
      <c r="R157" s="202" t="s">
        <v>992</v>
      </c>
      <c r="S157" s="202" t="s">
        <v>993</v>
      </c>
    </row>
    <row r="158" spans="1:19">
      <c r="A158" s="202" t="s">
        <v>994</v>
      </c>
      <c r="B158" s="202" t="s">
        <v>995</v>
      </c>
      <c r="C158" s="202" t="s">
        <v>995</v>
      </c>
      <c r="D158" s="202" t="s">
        <v>996</v>
      </c>
      <c r="E158" s="197"/>
      <c r="F158" s="202" t="s">
        <v>997</v>
      </c>
      <c r="G158" s="202" t="s">
        <v>998</v>
      </c>
      <c r="H158" s="202" t="s">
        <v>999</v>
      </c>
      <c r="I158" s="202" t="s">
        <v>983</v>
      </c>
      <c r="J158" s="197"/>
      <c r="K158" s="202" t="s">
        <v>1000</v>
      </c>
      <c r="L158" s="202" t="s">
        <v>1001</v>
      </c>
      <c r="M158" s="202" t="s">
        <v>1002</v>
      </c>
      <c r="N158" s="202" t="s">
        <v>947</v>
      </c>
      <c r="O158" s="197"/>
      <c r="P158" s="202" t="s">
        <v>1003</v>
      </c>
      <c r="Q158" s="202" t="s">
        <v>1004</v>
      </c>
      <c r="R158" s="202" t="s">
        <v>1005</v>
      </c>
      <c r="S158" s="202" t="s">
        <v>1006</v>
      </c>
    </row>
    <row r="159" spans="1:19">
      <c r="A159" s="202" t="s">
        <v>1007</v>
      </c>
      <c r="B159" s="202" t="s">
        <v>1008</v>
      </c>
      <c r="C159" s="202" t="s">
        <v>1008</v>
      </c>
      <c r="D159" s="202" t="s">
        <v>1009</v>
      </c>
      <c r="E159" s="197"/>
      <c r="F159" s="202" t="s">
        <v>1010</v>
      </c>
      <c r="G159" s="202" t="s">
        <v>1011</v>
      </c>
      <c r="H159" s="202" t="s">
        <v>1012</v>
      </c>
      <c r="I159" s="202" t="s">
        <v>1013</v>
      </c>
      <c r="J159" s="197"/>
      <c r="K159" s="202" t="s">
        <v>1014</v>
      </c>
      <c r="L159" s="202" t="s">
        <v>1015</v>
      </c>
      <c r="M159" s="202" t="s">
        <v>1016</v>
      </c>
      <c r="N159" s="202" t="s">
        <v>960</v>
      </c>
      <c r="O159" s="197"/>
      <c r="P159" s="202" t="s">
        <v>1017</v>
      </c>
      <c r="Q159" s="202" t="s">
        <v>899</v>
      </c>
      <c r="R159" s="202" t="s">
        <v>1018</v>
      </c>
      <c r="S159" s="202" t="s">
        <v>1019</v>
      </c>
    </row>
    <row r="160" spans="1:19">
      <c r="A160" s="202" t="s">
        <v>1020</v>
      </c>
      <c r="B160" s="202" t="s">
        <v>1021</v>
      </c>
      <c r="C160" s="202" t="s">
        <v>1021</v>
      </c>
      <c r="D160" s="202" t="s">
        <v>1022</v>
      </c>
      <c r="E160" s="197"/>
      <c r="F160" s="202" t="s">
        <v>1023</v>
      </c>
      <c r="G160" s="202" t="s">
        <v>1024</v>
      </c>
      <c r="H160" s="202" t="s">
        <v>1025</v>
      </c>
      <c r="I160" s="202" t="s">
        <v>1011</v>
      </c>
      <c r="J160" s="197"/>
      <c r="K160" s="202" t="s">
        <v>1026</v>
      </c>
      <c r="L160" s="202" t="s">
        <v>1027</v>
      </c>
      <c r="M160" s="202" t="s">
        <v>1028</v>
      </c>
      <c r="N160" s="202" t="s">
        <v>1029</v>
      </c>
      <c r="O160" s="197"/>
      <c r="P160" s="202" t="s">
        <v>1030</v>
      </c>
      <c r="Q160" s="202" t="s">
        <v>1031</v>
      </c>
      <c r="R160" s="202" t="s">
        <v>1032</v>
      </c>
      <c r="S160" s="202" t="s">
        <v>1033</v>
      </c>
    </row>
    <row r="161" spans="1:19">
      <c r="A161" s="202" t="s">
        <v>1034</v>
      </c>
      <c r="B161" s="202" t="s">
        <v>1035</v>
      </c>
      <c r="C161" s="202" t="s">
        <v>1035</v>
      </c>
      <c r="D161" s="202" t="s">
        <v>1036</v>
      </c>
      <c r="E161" s="197"/>
      <c r="F161" s="202" t="s">
        <v>1037</v>
      </c>
      <c r="G161" s="202" t="s">
        <v>1038</v>
      </c>
      <c r="H161" s="202" t="s">
        <v>1039</v>
      </c>
      <c r="I161" s="202" t="s">
        <v>1024</v>
      </c>
      <c r="J161" s="197"/>
      <c r="K161" s="202" t="s">
        <v>1040</v>
      </c>
      <c r="L161" s="202" t="s">
        <v>1041</v>
      </c>
      <c r="M161" s="202" t="s">
        <v>1042</v>
      </c>
      <c r="N161" s="202" t="s">
        <v>1043</v>
      </c>
      <c r="O161" s="197"/>
      <c r="P161" s="202" t="s">
        <v>1044</v>
      </c>
      <c r="Q161" s="202" t="s">
        <v>1045</v>
      </c>
      <c r="R161" s="202" t="s">
        <v>1046</v>
      </c>
      <c r="S161" s="202" t="s">
        <v>1047</v>
      </c>
    </row>
    <row r="162" spans="1:19">
      <c r="A162" s="202" t="s">
        <v>1048</v>
      </c>
      <c r="B162" s="202" t="s">
        <v>1049</v>
      </c>
      <c r="C162" s="202" t="s">
        <v>1049</v>
      </c>
      <c r="D162" s="202" t="s">
        <v>1050</v>
      </c>
      <c r="E162" s="197"/>
      <c r="F162" s="202" t="s">
        <v>1051</v>
      </c>
      <c r="G162" s="202" t="s">
        <v>1052</v>
      </c>
      <c r="H162" s="202" t="s">
        <v>1053</v>
      </c>
      <c r="I162" s="202" t="s">
        <v>1038</v>
      </c>
      <c r="J162" s="197"/>
      <c r="K162" s="202" t="s">
        <v>1054</v>
      </c>
      <c r="L162" s="202" t="s">
        <v>1055</v>
      </c>
      <c r="M162" s="202" t="s">
        <v>1056</v>
      </c>
      <c r="N162" s="202" t="s">
        <v>1057</v>
      </c>
      <c r="O162" s="197"/>
      <c r="P162" s="202" t="s">
        <v>1058</v>
      </c>
      <c r="Q162" s="202" t="s">
        <v>1059</v>
      </c>
      <c r="R162" s="202" t="s">
        <v>1060</v>
      </c>
      <c r="S162" s="202" t="s">
        <v>1061</v>
      </c>
    </row>
    <row r="163" spans="1:19">
      <c r="A163" s="202" t="s">
        <v>1062</v>
      </c>
      <c r="B163" s="202" t="s">
        <v>1063</v>
      </c>
      <c r="C163" s="202" t="s">
        <v>1064</v>
      </c>
      <c r="D163" s="202" t="s">
        <v>1065</v>
      </c>
      <c r="E163" s="197"/>
      <c r="F163" s="202" t="s">
        <v>1066</v>
      </c>
      <c r="G163" s="202" t="s">
        <v>1067</v>
      </c>
      <c r="H163" s="202" t="s">
        <v>1068</v>
      </c>
      <c r="I163" s="202" t="s">
        <v>1052</v>
      </c>
      <c r="J163" s="197"/>
      <c r="K163" s="202" t="s">
        <v>1069</v>
      </c>
      <c r="L163" s="202" t="s">
        <v>1070</v>
      </c>
      <c r="M163" s="202" t="s">
        <v>1071</v>
      </c>
      <c r="N163" s="202" t="s">
        <v>1072</v>
      </c>
      <c r="O163" s="197"/>
      <c r="P163" s="202" t="s">
        <v>1073</v>
      </c>
      <c r="Q163" s="202" t="s">
        <v>1074</v>
      </c>
      <c r="R163" s="202" t="s">
        <v>1075</v>
      </c>
      <c r="S163" s="202" t="s">
        <v>1076</v>
      </c>
    </row>
    <row r="164" spans="1:19">
      <c r="A164" s="202" t="s">
        <v>1077</v>
      </c>
      <c r="B164" s="202" t="s">
        <v>1078</v>
      </c>
      <c r="C164" s="202" t="s">
        <v>1079</v>
      </c>
      <c r="D164" s="202" t="s">
        <v>1080</v>
      </c>
      <c r="E164" s="197"/>
      <c r="F164" s="202" t="s">
        <v>1081</v>
      </c>
      <c r="G164" s="202" t="s">
        <v>1082</v>
      </c>
      <c r="H164" s="202" t="s">
        <v>1083</v>
      </c>
      <c r="I164" s="202" t="s">
        <v>1067</v>
      </c>
      <c r="J164" s="197"/>
      <c r="K164" s="202" t="s">
        <v>1084</v>
      </c>
      <c r="L164" s="202" t="s">
        <v>1085</v>
      </c>
      <c r="M164" s="202" t="s">
        <v>1086</v>
      </c>
      <c r="N164" s="202" t="s">
        <v>1087</v>
      </c>
      <c r="O164" s="197"/>
      <c r="P164" s="202" t="s">
        <v>1088</v>
      </c>
      <c r="Q164" s="202" t="s">
        <v>1089</v>
      </c>
      <c r="R164" s="202" t="s">
        <v>1090</v>
      </c>
      <c r="S164" s="202" t="s">
        <v>1091</v>
      </c>
    </row>
    <row r="165" spans="1:19">
      <c r="A165" s="202" t="s">
        <v>1092</v>
      </c>
      <c r="B165" s="202" t="s">
        <v>1093</v>
      </c>
      <c r="C165" s="202" t="s">
        <v>1094</v>
      </c>
      <c r="D165" s="202" t="s">
        <v>1095</v>
      </c>
      <c r="E165" s="197"/>
      <c r="F165" s="202" t="s">
        <v>1096</v>
      </c>
      <c r="G165" s="202" t="s">
        <v>1097</v>
      </c>
      <c r="H165" s="202" t="s">
        <v>1098</v>
      </c>
      <c r="I165" s="202" t="s">
        <v>1082</v>
      </c>
      <c r="J165" s="197"/>
      <c r="K165" s="202" t="s">
        <v>1099</v>
      </c>
      <c r="L165" s="202" t="s">
        <v>1100</v>
      </c>
      <c r="M165" s="202" t="s">
        <v>1101</v>
      </c>
      <c r="N165" s="202" t="s">
        <v>1102</v>
      </c>
      <c r="O165" s="197"/>
      <c r="P165" s="202" t="s">
        <v>1103</v>
      </c>
      <c r="Q165" s="202" t="s">
        <v>1104</v>
      </c>
      <c r="R165" s="202" t="s">
        <v>1105</v>
      </c>
      <c r="S165" s="202" t="s">
        <v>1018</v>
      </c>
    </row>
    <row r="166" spans="1:19">
      <c r="A166" s="202" t="s">
        <v>1106</v>
      </c>
      <c r="B166" s="202" t="s">
        <v>1107</v>
      </c>
      <c r="C166" s="202" t="s">
        <v>1108</v>
      </c>
      <c r="D166" s="202" t="s">
        <v>1109</v>
      </c>
      <c r="E166" s="197"/>
      <c r="F166" s="202" t="s">
        <v>1110</v>
      </c>
      <c r="G166" s="202" t="s">
        <v>1111</v>
      </c>
      <c r="H166" s="202" t="s">
        <v>1112</v>
      </c>
      <c r="I166" s="202" t="s">
        <v>1097</v>
      </c>
      <c r="J166" s="197"/>
      <c r="K166" s="202" t="s">
        <v>1113</v>
      </c>
      <c r="L166" s="202" t="s">
        <v>1114</v>
      </c>
      <c r="M166" s="202" t="s">
        <v>1115</v>
      </c>
      <c r="N166" s="202" t="s">
        <v>1116</v>
      </c>
      <c r="O166" s="197"/>
      <c r="P166" s="202" t="s">
        <v>1117</v>
      </c>
      <c r="Q166" s="202" t="s">
        <v>1118</v>
      </c>
      <c r="R166" s="202" t="s">
        <v>1119</v>
      </c>
      <c r="S166" s="202" t="s">
        <v>1032</v>
      </c>
    </row>
    <row r="167" spans="1:19">
      <c r="A167" s="202" t="s">
        <v>1120</v>
      </c>
      <c r="B167" s="202" t="s">
        <v>1121</v>
      </c>
      <c r="C167" s="202" t="s">
        <v>1122</v>
      </c>
      <c r="D167" s="202" t="s">
        <v>1123</v>
      </c>
      <c r="E167" s="197"/>
      <c r="F167" s="202" t="s">
        <v>1124</v>
      </c>
      <c r="G167" s="202" t="s">
        <v>1125</v>
      </c>
      <c r="H167" s="202" t="s">
        <v>1126</v>
      </c>
      <c r="I167" s="202" t="s">
        <v>1111</v>
      </c>
      <c r="J167" s="197"/>
      <c r="K167" s="202" t="s">
        <v>1127</v>
      </c>
      <c r="L167" s="202" t="s">
        <v>1128</v>
      </c>
      <c r="M167" s="202" t="s">
        <v>1129</v>
      </c>
      <c r="N167" s="202" t="s">
        <v>1130</v>
      </c>
      <c r="O167" s="197"/>
      <c r="P167" s="202" t="s">
        <v>1131</v>
      </c>
      <c r="Q167" s="202" t="s">
        <v>1076</v>
      </c>
      <c r="R167" s="202" t="s">
        <v>1132</v>
      </c>
      <c r="S167" s="202" t="s">
        <v>1046</v>
      </c>
    </row>
    <row r="168" spans="1:19">
      <c r="A168" s="202" t="s">
        <v>1133</v>
      </c>
      <c r="B168" s="202" t="s">
        <v>1134</v>
      </c>
      <c r="C168" s="202" t="s">
        <v>1135</v>
      </c>
      <c r="D168" s="202" t="s">
        <v>1136</v>
      </c>
      <c r="E168" s="197"/>
      <c r="F168" s="202" t="s">
        <v>1137</v>
      </c>
      <c r="G168" s="202" t="s">
        <v>1138</v>
      </c>
      <c r="H168" s="202" t="s">
        <v>1139</v>
      </c>
      <c r="I168" s="202" t="s">
        <v>1140</v>
      </c>
      <c r="J168" s="197"/>
      <c r="K168" s="202" t="s">
        <v>1141</v>
      </c>
      <c r="L168" s="202" t="s">
        <v>1071</v>
      </c>
      <c r="M168" s="202" t="s">
        <v>1142</v>
      </c>
      <c r="N168" s="202" t="s">
        <v>1143</v>
      </c>
      <c r="O168" s="197"/>
      <c r="P168" s="202" t="s">
        <v>1144</v>
      </c>
      <c r="Q168" s="202" t="s">
        <v>1005</v>
      </c>
      <c r="R168" s="202" t="s">
        <v>1145</v>
      </c>
      <c r="S168" s="202" t="s">
        <v>1146</v>
      </c>
    </row>
    <row r="169" spans="1:19">
      <c r="A169" s="202" t="s">
        <v>1147</v>
      </c>
      <c r="B169" s="202" t="s">
        <v>1148</v>
      </c>
      <c r="C169" s="202" t="s">
        <v>1149</v>
      </c>
      <c r="D169" s="202" t="s">
        <v>1150</v>
      </c>
      <c r="E169" s="197"/>
      <c r="F169" s="202" t="s">
        <v>1151</v>
      </c>
      <c r="G169" s="202" t="s">
        <v>1152</v>
      </c>
      <c r="H169" s="202" t="s">
        <v>1153</v>
      </c>
      <c r="I169" s="202" t="s">
        <v>1154</v>
      </c>
      <c r="J169" s="197"/>
      <c r="K169" s="202" t="s">
        <v>1155</v>
      </c>
      <c r="L169" s="202" t="s">
        <v>1156</v>
      </c>
      <c r="M169" s="202" t="s">
        <v>1157</v>
      </c>
      <c r="N169" s="202" t="s">
        <v>1158</v>
      </c>
      <c r="O169" s="197"/>
      <c r="P169" s="202" t="s">
        <v>1159</v>
      </c>
      <c r="Q169" s="202" t="s">
        <v>1160</v>
      </c>
      <c r="R169" s="202" t="s">
        <v>1161</v>
      </c>
      <c r="S169" s="202" t="s">
        <v>1162</v>
      </c>
    </row>
    <row r="170" spans="1:19">
      <c r="A170" s="202" t="s">
        <v>1163</v>
      </c>
      <c r="B170" s="202" t="s">
        <v>1164</v>
      </c>
      <c r="C170" s="202" t="s">
        <v>1165</v>
      </c>
      <c r="D170" s="202" t="s">
        <v>1166</v>
      </c>
      <c r="E170" s="197"/>
      <c r="F170" s="202" t="s">
        <v>1167</v>
      </c>
      <c r="G170" s="202" t="s">
        <v>1168</v>
      </c>
      <c r="H170" s="202" t="s">
        <v>1169</v>
      </c>
      <c r="I170" s="202" t="s">
        <v>1170</v>
      </c>
      <c r="J170" s="197"/>
      <c r="K170" s="202" t="s">
        <v>1171</v>
      </c>
      <c r="L170" s="202" t="s">
        <v>1172</v>
      </c>
      <c r="M170" s="202" t="s">
        <v>1173</v>
      </c>
      <c r="N170" s="202" t="s">
        <v>1174</v>
      </c>
      <c r="O170" s="197"/>
      <c r="P170" s="202" t="s">
        <v>1175</v>
      </c>
      <c r="Q170" s="202" t="s">
        <v>1176</v>
      </c>
      <c r="R170" s="202" t="s">
        <v>1177</v>
      </c>
      <c r="S170" s="202" t="s">
        <v>1178</v>
      </c>
    </row>
    <row r="171" spans="1:19">
      <c r="A171" s="202" t="s">
        <v>1179</v>
      </c>
      <c r="B171" s="202" t="s">
        <v>1180</v>
      </c>
      <c r="C171" s="202" t="s">
        <v>1181</v>
      </c>
      <c r="D171" s="202" t="s">
        <v>1182</v>
      </c>
      <c r="E171" s="197"/>
      <c r="F171" s="202" t="s">
        <v>1183</v>
      </c>
      <c r="G171" s="202" t="s">
        <v>1184</v>
      </c>
      <c r="H171" s="202" t="s">
        <v>1185</v>
      </c>
      <c r="I171" s="202" t="s">
        <v>1186</v>
      </c>
      <c r="J171" s="197"/>
      <c r="K171" s="202" t="s">
        <v>1187</v>
      </c>
      <c r="L171" s="202" t="s">
        <v>1188</v>
      </c>
      <c r="M171" s="202" t="s">
        <v>1189</v>
      </c>
      <c r="N171" s="202" t="s">
        <v>1190</v>
      </c>
      <c r="O171" s="197"/>
      <c r="P171" s="202" t="s">
        <v>1191</v>
      </c>
      <c r="Q171" s="202" t="s">
        <v>1192</v>
      </c>
      <c r="R171" s="202" t="s">
        <v>1193</v>
      </c>
      <c r="S171" s="202" t="s">
        <v>1194</v>
      </c>
    </row>
    <row r="172" spans="1:19">
      <c r="A172" s="202" t="s">
        <v>1195</v>
      </c>
      <c r="B172" s="202" t="s">
        <v>1196</v>
      </c>
      <c r="C172" s="202" t="s">
        <v>1197</v>
      </c>
      <c r="D172" s="202" t="s">
        <v>1198</v>
      </c>
      <c r="E172" s="197"/>
      <c r="F172" s="202" t="s">
        <v>1199</v>
      </c>
      <c r="G172" s="202" t="s">
        <v>1200</v>
      </c>
      <c r="H172" s="202" t="s">
        <v>1201</v>
      </c>
      <c r="I172" s="202" t="s">
        <v>1202</v>
      </c>
      <c r="J172" s="197"/>
      <c r="K172" s="202" t="s">
        <v>1203</v>
      </c>
      <c r="L172" s="202" t="s">
        <v>1204</v>
      </c>
      <c r="M172" s="202" t="s">
        <v>1205</v>
      </c>
      <c r="N172" s="202" t="s">
        <v>1206</v>
      </c>
      <c r="O172" s="197"/>
      <c r="P172" s="202" t="s">
        <v>1207</v>
      </c>
      <c r="Q172" s="202" t="s">
        <v>1208</v>
      </c>
      <c r="R172" s="202" t="s">
        <v>1209</v>
      </c>
      <c r="S172" s="202" t="s">
        <v>1210</v>
      </c>
    </row>
    <row r="173" spans="1:19">
      <c r="A173" s="202" t="s">
        <v>1211</v>
      </c>
      <c r="B173" s="202" t="s">
        <v>1212</v>
      </c>
      <c r="C173" s="202" t="s">
        <v>1213</v>
      </c>
      <c r="D173" s="202" t="s">
        <v>1214</v>
      </c>
      <c r="E173" s="197"/>
      <c r="F173" s="202" t="s">
        <v>1215</v>
      </c>
      <c r="G173" s="202" t="s">
        <v>1216</v>
      </c>
      <c r="H173" s="202" t="s">
        <v>1217</v>
      </c>
      <c r="I173" s="202" t="s">
        <v>1218</v>
      </c>
      <c r="J173" s="197"/>
      <c r="K173" s="202" t="s">
        <v>1219</v>
      </c>
      <c r="L173" s="202" t="s">
        <v>1220</v>
      </c>
      <c r="M173" s="202" t="s">
        <v>1221</v>
      </c>
      <c r="N173" s="202" t="s">
        <v>1222</v>
      </c>
      <c r="O173" s="197"/>
      <c r="P173" s="202" t="s">
        <v>1223</v>
      </c>
      <c r="Q173" s="202" t="s">
        <v>1224</v>
      </c>
      <c r="R173" s="202" t="s">
        <v>1225</v>
      </c>
      <c r="S173" s="202" t="s">
        <v>1226</v>
      </c>
    </row>
    <row r="174" spans="1:19">
      <c r="A174" s="202" t="s">
        <v>1227</v>
      </c>
      <c r="B174" s="202" t="s">
        <v>1228</v>
      </c>
      <c r="C174" s="202" t="s">
        <v>1229</v>
      </c>
      <c r="D174" s="202" t="s">
        <v>1213</v>
      </c>
      <c r="E174" s="197"/>
      <c r="F174" s="202" t="s">
        <v>1230</v>
      </c>
      <c r="G174" s="202" t="s">
        <v>1201</v>
      </c>
      <c r="H174" s="202" t="s">
        <v>1231</v>
      </c>
      <c r="I174" s="202" t="s">
        <v>1232</v>
      </c>
      <c r="J174" s="197"/>
      <c r="K174" s="202" t="s">
        <v>1233</v>
      </c>
      <c r="L174" s="202" t="s">
        <v>1222</v>
      </c>
      <c r="M174" s="202" t="s">
        <v>1234</v>
      </c>
      <c r="N174" s="202" t="s">
        <v>1235</v>
      </c>
      <c r="O174" s="197"/>
      <c r="P174" s="202" t="s">
        <v>1236</v>
      </c>
      <c r="Q174" s="202" t="s">
        <v>1237</v>
      </c>
      <c r="R174" s="202" t="s">
        <v>1238</v>
      </c>
      <c r="S174" s="202" t="s">
        <v>1239</v>
      </c>
    </row>
    <row r="175" spans="1:19">
      <c r="A175" s="202" t="s">
        <v>1240</v>
      </c>
      <c r="B175" s="202" t="s">
        <v>1241</v>
      </c>
      <c r="C175" s="202" t="s">
        <v>1242</v>
      </c>
      <c r="D175" s="202" t="s">
        <v>1229</v>
      </c>
      <c r="E175" s="197"/>
      <c r="F175" s="202" t="s">
        <v>1243</v>
      </c>
      <c r="G175" s="202" t="s">
        <v>1217</v>
      </c>
      <c r="H175" s="202" t="s">
        <v>1244</v>
      </c>
      <c r="I175" s="202" t="s">
        <v>1245</v>
      </c>
      <c r="J175" s="197"/>
      <c r="K175" s="202" t="s">
        <v>1246</v>
      </c>
      <c r="L175" s="202" t="s">
        <v>1235</v>
      </c>
      <c r="M175" s="202" t="s">
        <v>1247</v>
      </c>
      <c r="N175" s="202" t="s">
        <v>1248</v>
      </c>
      <c r="O175" s="197"/>
      <c r="P175" s="202" t="s">
        <v>1249</v>
      </c>
      <c r="Q175" s="202" t="s">
        <v>1250</v>
      </c>
      <c r="R175" s="202" t="s">
        <v>1251</v>
      </c>
      <c r="S175" s="202" t="s">
        <v>1252</v>
      </c>
    </row>
    <row r="176" spans="1:19">
      <c r="A176" s="202" t="s">
        <v>1253</v>
      </c>
      <c r="B176" s="202" t="s">
        <v>1254</v>
      </c>
      <c r="C176" s="202" t="s">
        <v>1255</v>
      </c>
      <c r="D176" s="202" t="s">
        <v>1242</v>
      </c>
      <c r="E176" s="197"/>
      <c r="F176" s="202" t="s">
        <v>1256</v>
      </c>
      <c r="G176" s="202" t="s">
        <v>1257</v>
      </c>
      <c r="H176" s="202" t="s">
        <v>1258</v>
      </c>
      <c r="I176" s="202" t="s">
        <v>1259</v>
      </c>
      <c r="J176" s="197"/>
      <c r="K176" s="202" t="s">
        <v>1260</v>
      </c>
      <c r="L176" s="202" t="s">
        <v>1261</v>
      </c>
      <c r="M176" s="202" t="s">
        <v>1262</v>
      </c>
      <c r="N176" s="202" t="s">
        <v>1263</v>
      </c>
      <c r="O176" s="197"/>
      <c r="P176" s="202" t="s">
        <v>1264</v>
      </c>
      <c r="Q176" s="202" t="s">
        <v>1105</v>
      </c>
      <c r="R176" s="202" t="s">
        <v>1265</v>
      </c>
      <c r="S176" s="202" t="s">
        <v>1266</v>
      </c>
    </row>
    <row r="177" spans="1:19">
      <c r="A177" s="202" t="s">
        <v>1267</v>
      </c>
      <c r="B177" s="202" t="s">
        <v>1268</v>
      </c>
      <c r="C177" s="202" t="s">
        <v>1269</v>
      </c>
      <c r="D177" s="202" t="s">
        <v>1255</v>
      </c>
      <c r="E177" s="197"/>
      <c r="F177" s="202" t="s">
        <v>1270</v>
      </c>
      <c r="G177" s="202" t="s">
        <v>1271</v>
      </c>
      <c r="H177" s="202" t="s">
        <v>1272</v>
      </c>
      <c r="I177" s="202" t="s">
        <v>1273</v>
      </c>
      <c r="J177" s="197"/>
      <c r="K177" s="202" t="s">
        <v>1274</v>
      </c>
      <c r="L177" s="202" t="s">
        <v>1275</v>
      </c>
      <c r="M177" s="202" t="s">
        <v>1276</v>
      </c>
      <c r="N177" s="202" t="s">
        <v>1277</v>
      </c>
      <c r="O177" s="197"/>
      <c r="P177" s="202" t="s">
        <v>1278</v>
      </c>
      <c r="Q177" s="202" t="s">
        <v>1279</v>
      </c>
      <c r="R177" s="202" t="s">
        <v>1280</v>
      </c>
      <c r="S177" s="202" t="s">
        <v>1281</v>
      </c>
    </row>
    <row r="178" spans="1:19">
      <c r="A178" s="202" t="s">
        <v>1282</v>
      </c>
      <c r="B178" s="202" t="s">
        <v>1283</v>
      </c>
      <c r="C178" s="202" t="s">
        <v>1284</v>
      </c>
      <c r="D178" s="202" t="s">
        <v>1285</v>
      </c>
      <c r="E178" s="197"/>
      <c r="F178" s="202" t="s">
        <v>1286</v>
      </c>
      <c r="G178" s="202" t="s">
        <v>1287</v>
      </c>
      <c r="H178" s="202" t="s">
        <v>1288</v>
      </c>
      <c r="I178" s="202" t="s">
        <v>1244</v>
      </c>
      <c r="J178" s="197"/>
      <c r="K178" s="202" t="s">
        <v>1289</v>
      </c>
      <c r="L178" s="202" t="s">
        <v>1290</v>
      </c>
      <c r="M178" s="202" t="s">
        <v>1291</v>
      </c>
      <c r="N178" s="202" t="s">
        <v>1292</v>
      </c>
      <c r="O178" s="197"/>
      <c r="P178" s="202" t="s">
        <v>1293</v>
      </c>
      <c r="Q178" s="202" t="s">
        <v>1226</v>
      </c>
      <c r="R178" s="202" t="s">
        <v>1294</v>
      </c>
      <c r="S178" s="202" t="s">
        <v>1295</v>
      </c>
    </row>
    <row r="179" spans="1:19">
      <c r="A179" s="202" t="s">
        <v>1296</v>
      </c>
      <c r="B179" s="202" t="s">
        <v>1297</v>
      </c>
      <c r="C179" s="202" t="s">
        <v>1298</v>
      </c>
      <c r="D179" s="202" t="s">
        <v>1299</v>
      </c>
      <c r="E179" s="197"/>
      <c r="F179" s="202" t="s">
        <v>1300</v>
      </c>
      <c r="G179" s="202" t="s">
        <v>1301</v>
      </c>
      <c r="H179" s="202" t="s">
        <v>1302</v>
      </c>
      <c r="I179" s="202" t="s">
        <v>1258</v>
      </c>
      <c r="J179" s="197"/>
      <c r="K179" s="202" t="s">
        <v>1303</v>
      </c>
      <c r="L179" s="202" t="s">
        <v>1221</v>
      </c>
      <c r="M179" s="202" t="s">
        <v>1304</v>
      </c>
      <c r="N179" s="202" t="s">
        <v>1305</v>
      </c>
      <c r="O179" s="197"/>
      <c r="P179" s="202" t="s">
        <v>1306</v>
      </c>
      <c r="Q179" s="202" t="s">
        <v>1307</v>
      </c>
      <c r="R179" s="202" t="s">
        <v>1308</v>
      </c>
      <c r="S179" s="202" t="s">
        <v>1309</v>
      </c>
    </row>
    <row r="180" spans="1:19">
      <c r="A180" s="202" t="s">
        <v>1310</v>
      </c>
      <c r="B180" s="202" t="s">
        <v>1311</v>
      </c>
      <c r="C180" s="202" t="s">
        <v>1312</v>
      </c>
      <c r="D180" s="202" t="s">
        <v>1313</v>
      </c>
      <c r="E180" s="197"/>
      <c r="F180" s="202" t="s">
        <v>1314</v>
      </c>
      <c r="G180" s="202" t="s">
        <v>1315</v>
      </c>
      <c r="H180" s="202" t="s">
        <v>1316</v>
      </c>
      <c r="I180" s="202" t="s">
        <v>1272</v>
      </c>
      <c r="J180" s="197"/>
      <c r="K180" s="202" t="s">
        <v>1317</v>
      </c>
      <c r="L180" s="202" t="s">
        <v>1318</v>
      </c>
      <c r="M180" s="202" t="s">
        <v>1319</v>
      </c>
      <c r="N180" s="202" t="s">
        <v>1320</v>
      </c>
      <c r="O180" s="197"/>
      <c r="P180" s="202" t="s">
        <v>1321</v>
      </c>
      <c r="Q180" s="202" t="s">
        <v>1322</v>
      </c>
      <c r="R180" s="202" t="s">
        <v>1323</v>
      </c>
      <c r="S180" s="202" t="s">
        <v>1324</v>
      </c>
    </row>
    <row r="181" spans="1:19">
      <c r="A181" s="202" t="s">
        <v>1325</v>
      </c>
      <c r="B181" s="202" t="s">
        <v>1326</v>
      </c>
      <c r="C181" s="202" t="s">
        <v>1327</v>
      </c>
      <c r="D181" s="202" t="s">
        <v>1328</v>
      </c>
      <c r="E181" s="197"/>
      <c r="F181" s="202" t="s">
        <v>1329</v>
      </c>
      <c r="G181" s="202" t="s">
        <v>1330</v>
      </c>
      <c r="H181" s="202" t="s">
        <v>1331</v>
      </c>
      <c r="I181" s="202" t="s">
        <v>1288</v>
      </c>
      <c r="J181" s="197"/>
      <c r="K181" s="202" t="s">
        <v>1332</v>
      </c>
      <c r="L181" s="202" t="s">
        <v>1333</v>
      </c>
      <c r="M181" s="202" t="s">
        <v>1334</v>
      </c>
      <c r="N181" s="202" t="s">
        <v>1335</v>
      </c>
      <c r="O181" s="197"/>
      <c r="P181" s="202" t="s">
        <v>1336</v>
      </c>
      <c r="Q181" s="202" t="s">
        <v>1337</v>
      </c>
      <c r="R181" s="202" t="s">
        <v>1338</v>
      </c>
      <c r="S181" s="202" t="s">
        <v>1339</v>
      </c>
    </row>
    <row r="182" spans="1:19">
      <c r="A182" s="202" t="s">
        <v>1340</v>
      </c>
      <c r="B182" s="202" t="s">
        <v>1341</v>
      </c>
      <c r="C182" s="202" t="s">
        <v>1342</v>
      </c>
      <c r="D182" s="202" t="s">
        <v>1343</v>
      </c>
      <c r="E182" s="197"/>
      <c r="F182" s="202" t="s">
        <v>1344</v>
      </c>
      <c r="G182" s="202" t="s">
        <v>1345</v>
      </c>
      <c r="H182" s="202" t="s">
        <v>1346</v>
      </c>
      <c r="I182" s="202" t="s">
        <v>1347</v>
      </c>
      <c r="J182" s="197"/>
      <c r="K182" s="202" t="s">
        <v>1348</v>
      </c>
      <c r="L182" s="202" t="s">
        <v>1349</v>
      </c>
      <c r="M182" s="202" t="s">
        <v>1350</v>
      </c>
      <c r="N182" s="202" t="s">
        <v>1351</v>
      </c>
      <c r="O182" s="197"/>
      <c r="P182" s="202" t="s">
        <v>1352</v>
      </c>
      <c r="Q182" s="202" t="s">
        <v>1353</v>
      </c>
      <c r="R182" s="202" t="s">
        <v>1354</v>
      </c>
      <c r="S182" s="202" t="s">
        <v>1355</v>
      </c>
    </row>
    <row r="183" spans="1:19">
      <c r="A183" s="202" t="s">
        <v>1356</v>
      </c>
      <c r="B183" s="202" t="s">
        <v>1357</v>
      </c>
      <c r="C183" s="202" t="s">
        <v>1358</v>
      </c>
      <c r="D183" s="202" t="s">
        <v>1359</v>
      </c>
      <c r="E183" s="197"/>
      <c r="F183" s="202" t="s">
        <v>1360</v>
      </c>
      <c r="G183" s="202" t="s">
        <v>1361</v>
      </c>
      <c r="H183" s="202" t="s">
        <v>1362</v>
      </c>
      <c r="I183" s="202" t="s">
        <v>1363</v>
      </c>
      <c r="J183" s="197"/>
      <c r="K183" s="202" t="s">
        <v>1364</v>
      </c>
      <c r="L183" s="202" t="s">
        <v>1365</v>
      </c>
      <c r="M183" s="202" t="s">
        <v>1366</v>
      </c>
      <c r="N183" s="202" t="s">
        <v>1367</v>
      </c>
      <c r="O183" s="197"/>
      <c r="P183" s="202" t="s">
        <v>1368</v>
      </c>
      <c r="Q183" s="202" t="s">
        <v>1369</v>
      </c>
      <c r="R183" s="202" t="s">
        <v>1370</v>
      </c>
      <c r="S183" s="202" t="s">
        <v>1371</v>
      </c>
    </row>
    <row r="184" spans="1:19">
      <c r="A184" s="202" t="s">
        <v>1372</v>
      </c>
      <c r="B184" s="202" t="s">
        <v>1373</v>
      </c>
      <c r="C184" s="202" t="s">
        <v>1374</v>
      </c>
      <c r="D184" s="202" t="s">
        <v>1375</v>
      </c>
      <c r="E184" s="197"/>
      <c r="F184" s="202" t="s">
        <v>1376</v>
      </c>
      <c r="G184" s="202" t="s">
        <v>1377</v>
      </c>
      <c r="H184" s="202" t="s">
        <v>1378</v>
      </c>
      <c r="I184" s="202" t="s">
        <v>1379</v>
      </c>
      <c r="J184" s="197"/>
      <c r="K184" s="202" t="s">
        <v>1380</v>
      </c>
      <c r="L184" s="202" t="s">
        <v>1381</v>
      </c>
      <c r="M184" s="202" t="s">
        <v>1382</v>
      </c>
      <c r="N184" s="202" t="s">
        <v>1383</v>
      </c>
      <c r="O184" s="197"/>
      <c r="P184" s="202" t="s">
        <v>1384</v>
      </c>
      <c r="Q184" s="202" t="s">
        <v>1209</v>
      </c>
      <c r="R184" s="202" t="s">
        <v>1385</v>
      </c>
      <c r="S184" s="202" t="s">
        <v>1386</v>
      </c>
    </row>
    <row r="185" spans="1:19">
      <c r="A185" s="202" t="s">
        <v>1387</v>
      </c>
      <c r="B185" s="202" t="s">
        <v>1388</v>
      </c>
      <c r="C185" s="202" t="s">
        <v>1389</v>
      </c>
      <c r="D185" s="202" t="s">
        <v>1373</v>
      </c>
      <c r="E185" s="197"/>
      <c r="F185" s="202" t="s">
        <v>1390</v>
      </c>
      <c r="G185" s="202" t="s">
        <v>1391</v>
      </c>
      <c r="H185" s="202" t="s">
        <v>1392</v>
      </c>
      <c r="I185" s="202" t="s">
        <v>1393</v>
      </c>
      <c r="J185" s="197"/>
      <c r="K185" s="202" t="s">
        <v>1394</v>
      </c>
      <c r="L185" s="202" t="s">
        <v>1395</v>
      </c>
      <c r="M185" s="202" t="s">
        <v>1396</v>
      </c>
      <c r="N185" s="202" t="s">
        <v>1397</v>
      </c>
      <c r="O185" s="197"/>
      <c r="P185" s="202" t="s">
        <v>1398</v>
      </c>
      <c r="Q185" s="202" t="s">
        <v>1399</v>
      </c>
      <c r="R185" s="202" t="s">
        <v>1400</v>
      </c>
      <c r="S185" s="202" t="s">
        <v>1401</v>
      </c>
    </row>
    <row r="186" spans="1:19">
      <c r="A186" s="202" t="s">
        <v>1402</v>
      </c>
      <c r="B186" s="202" t="s">
        <v>1403</v>
      </c>
      <c r="C186" s="202" t="s">
        <v>1404</v>
      </c>
      <c r="D186" s="202" t="s">
        <v>1388</v>
      </c>
      <c r="E186" s="197"/>
      <c r="F186" s="202" t="s">
        <v>1405</v>
      </c>
      <c r="G186" s="202" t="s">
        <v>1406</v>
      </c>
      <c r="H186" s="202" t="s">
        <v>1407</v>
      </c>
      <c r="I186" s="202" t="s">
        <v>1408</v>
      </c>
      <c r="J186" s="197"/>
      <c r="K186" s="202" t="s">
        <v>1409</v>
      </c>
      <c r="L186" s="202" t="s">
        <v>1410</v>
      </c>
      <c r="M186" s="202" t="s">
        <v>1411</v>
      </c>
      <c r="N186" s="202" t="s">
        <v>1334</v>
      </c>
      <c r="O186" s="197"/>
      <c r="P186" s="202" t="s">
        <v>1412</v>
      </c>
      <c r="Q186" s="202" t="s">
        <v>1413</v>
      </c>
      <c r="R186" s="202" t="s">
        <v>1414</v>
      </c>
      <c r="S186" s="202" t="s">
        <v>1415</v>
      </c>
    </row>
    <row r="187" spans="1:19">
      <c r="A187" s="202" t="s">
        <v>1416</v>
      </c>
      <c r="B187" s="202" t="s">
        <v>1417</v>
      </c>
      <c r="C187" s="202" t="s">
        <v>1418</v>
      </c>
      <c r="D187" s="202" t="s">
        <v>1419</v>
      </c>
      <c r="E187" s="197"/>
      <c r="F187" s="202" t="s">
        <v>1420</v>
      </c>
      <c r="G187" s="202" t="s">
        <v>1421</v>
      </c>
      <c r="H187" s="202" t="s">
        <v>1422</v>
      </c>
      <c r="I187" s="202" t="s">
        <v>1423</v>
      </c>
      <c r="J187" s="197"/>
      <c r="K187" s="202" t="s">
        <v>1424</v>
      </c>
      <c r="L187" s="202" t="s">
        <v>1425</v>
      </c>
      <c r="M187" s="202" t="s">
        <v>1426</v>
      </c>
      <c r="N187" s="202" t="s">
        <v>1350</v>
      </c>
      <c r="O187" s="197"/>
      <c r="P187" s="202" t="s">
        <v>1427</v>
      </c>
      <c r="Q187" s="202" t="s">
        <v>1428</v>
      </c>
      <c r="R187" s="202" t="s">
        <v>1429</v>
      </c>
      <c r="S187" s="202" t="s">
        <v>1430</v>
      </c>
    </row>
    <row r="188" spans="1:19">
      <c r="A188" s="202" t="s">
        <v>1431</v>
      </c>
      <c r="B188" s="202" t="s">
        <v>1432</v>
      </c>
      <c r="C188" s="202" t="s">
        <v>1433</v>
      </c>
      <c r="D188" s="202" t="s">
        <v>1417</v>
      </c>
      <c r="E188" s="197"/>
      <c r="F188" s="202" t="s">
        <v>1434</v>
      </c>
      <c r="G188" s="202" t="s">
        <v>1435</v>
      </c>
      <c r="H188" s="202" t="s">
        <v>1436</v>
      </c>
      <c r="I188" s="202" t="s">
        <v>1437</v>
      </c>
      <c r="J188" s="197"/>
      <c r="K188" s="202" t="s">
        <v>1438</v>
      </c>
      <c r="L188" s="202" t="s">
        <v>1439</v>
      </c>
      <c r="M188" s="202" t="s">
        <v>1440</v>
      </c>
      <c r="N188" s="202" t="s">
        <v>1366</v>
      </c>
      <c r="O188" s="197"/>
      <c r="P188" s="202" t="s">
        <v>1441</v>
      </c>
      <c r="Q188" s="202" t="s">
        <v>1442</v>
      </c>
      <c r="R188" s="202" t="s">
        <v>1443</v>
      </c>
      <c r="S188" s="202" t="s">
        <v>1444</v>
      </c>
    </row>
    <row r="189" spans="1:19">
      <c r="A189" s="202" t="s">
        <v>1445</v>
      </c>
      <c r="B189" s="202" t="s">
        <v>1446</v>
      </c>
      <c r="C189" s="202" t="s">
        <v>1447</v>
      </c>
      <c r="D189" s="202" t="s">
        <v>1432</v>
      </c>
      <c r="E189" s="197"/>
      <c r="F189" s="202" t="s">
        <v>1448</v>
      </c>
      <c r="G189" s="202" t="s">
        <v>1449</v>
      </c>
      <c r="H189" s="202" t="s">
        <v>1450</v>
      </c>
      <c r="I189" s="202" t="s">
        <v>1451</v>
      </c>
      <c r="J189" s="197"/>
      <c r="K189" s="202" t="s">
        <v>1452</v>
      </c>
      <c r="L189" s="202" t="s">
        <v>1453</v>
      </c>
      <c r="M189" s="202" t="s">
        <v>1454</v>
      </c>
      <c r="N189" s="202" t="s">
        <v>1382</v>
      </c>
      <c r="O189" s="197"/>
      <c r="P189" s="202" t="s">
        <v>1455</v>
      </c>
      <c r="Q189" s="202" t="s">
        <v>1456</v>
      </c>
      <c r="R189" s="202" t="s">
        <v>1457</v>
      </c>
      <c r="S189" s="202" t="s">
        <v>1458</v>
      </c>
    </row>
    <row r="190" spans="1:19">
      <c r="A190" s="202" t="s">
        <v>1459</v>
      </c>
      <c r="B190" s="202" t="s">
        <v>1460</v>
      </c>
      <c r="C190" s="202" t="s">
        <v>1461</v>
      </c>
      <c r="D190" s="202" t="s">
        <v>1446</v>
      </c>
      <c r="E190" s="197"/>
      <c r="F190" s="202" t="s">
        <v>1462</v>
      </c>
      <c r="G190" s="202" t="s">
        <v>1463</v>
      </c>
      <c r="H190" s="202" t="s">
        <v>1464</v>
      </c>
      <c r="I190" s="202" t="s">
        <v>1465</v>
      </c>
      <c r="J190" s="197"/>
      <c r="K190" s="202" t="s">
        <v>1466</v>
      </c>
      <c r="L190" s="202" t="s">
        <v>1366</v>
      </c>
      <c r="M190" s="202" t="s">
        <v>1467</v>
      </c>
      <c r="N190" s="202" t="s">
        <v>1468</v>
      </c>
      <c r="O190" s="197"/>
      <c r="P190" s="202" t="s">
        <v>1469</v>
      </c>
      <c r="Q190" s="202" t="s">
        <v>1470</v>
      </c>
      <c r="R190" s="202" t="s">
        <v>1471</v>
      </c>
      <c r="S190" s="202" t="s">
        <v>1472</v>
      </c>
    </row>
    <row r="191" spans="1:19">
      <c r="A191" s="202" t="s">
        <v>1473</v>
      </c>
      <c r="B191" s="202" t="s">
        <v>1474</v>
      </c>
      <c r="C191" s="202" t="s">
        <v>1475</v>
      </c>
      <c r="D191" s="202" t="s">
        <v>1460</v>
      </c>
      <c r="E191" s="197"/>
      <c r="F191" s="202" t="s">
        <v>1476</v>
      </c>
      <c r="G191" s="202" t="s">
        <v>1436</v>
      </c>
      <c r="H191" s="202" t="s">
        <v>1477</v>
      </c>
      <c r="I191" s="202" t="s">
        <v>1478</v>
      </c>
      <c r="J191" s="197"/>
      <c r="K191" s="202" t="s">
        <v>1479</v>
      </c>
      <c r="L191" s="202" t="s">
        <v>1480</v>
      </c>
      <c r="M191" s="202" t="s">
        <v>1481</v>
      </c>
      <c r="N191" s="202" t="s">
        <v>1482</v>
      </c>
      <c r="O191" s="197"/>
      <c r="P191" s="202" t="s">
        <v>1483</v>
      </c>
      <c r="Q191" s="202" t="s">
        <v>1484</v>
      </c>
      <c r="R191" s="202" t="s">
        <v>1485</v>
      </c>
      <c r="S191" s="202" t="s">
        <v>1486</v>
      </c>
    </row>
    <row r="192" spans="1:19">
      <c r="A192" s="202" t="s">
        <v>1487</v>
      </c>
      <c r="B192" s="202" t="s">
        <v>1488</v>
      </c>
      <c r="C192" s="202" t="s">
        <v>1489</v>
      </c>
      <c r="D192" s="202" t="s">
        <v>1474</v>
      </c>
      <c r="E192" s="197"/>
      <c r="F192" s="202" t="s">
        <v>1490</v>
      </c>
      <c r="G192" s="202" t="s">
        <v>1491</v>
      </c>
      <c r="H192" s="202" t="s">
        <v>1492</v>
      </c>
      <c r="I192" s="202" t="s">
        <v>1493</v>
      </c>
      <c r="J192" s="197"/>
      <c r="K192" s="202" t="s">
        <v>1494</v>
      </c>
      <c r="L192" s="202" t="s">
        <v>1495</v>
      </c>
      <c r="M192" s="202" t="s">
        <v>898</v>
      </c>
      <c r="N192" s="202" t="s">
        <v>1496</v>
      </c>
      <c r="O192" s="197"/>
      <c r="P192" s="202" t="s">
        <v>1497</v>
      </c>
      <c r="Q192" s="202" t="s">
        <v>1308</v>
      </c>
      <c r="R192" s="202" t="s">
        <v>1498</v>
      </c>
      <c r="S192" s="202" t="s">
        <v>1499</v>
      </c>
    </row>
    <row r="193" spans="1:19">
      <c r="A193" s="202" t="s">
        <v>1500</v>
      </c>
      <c r="B193" s="202" t="s">
        <v>1501</v>
      </c>
      <c r="C193" s="202" t="s">
        <v>1502</v>
      </c>
      <c r="D193" s="202" t="s">
        <v>1488</v>
      </c>
      <c r="E193" s="197"/>
      <c r="F193" s="202" t="s">
        <v>1503</v>
      </c>
      <c r="G193" s="202" t="s">
        <v>1504</v>
      </c>
      <c r="H193" s="202" t="s">
        <v>1505</v>
      </c>
      <c r="I193" s="202" t="s">
        <v>1506</v>
      </c>
      <c r="J193" s="197"/>
      <c r="K193" s="202" t="s">
        <v>1507</v>
      </c>
      <c r="L193" s="202" t="s">
        <v>1508</v>
      </c>
      <c r="M193" s="202" t="s">
        <v>1509</v>
      </c>
      <c r="N193" s="202" t="s">
        <v>1510</v>
      </c>
      <c r="O193" s="197"/>
      <c r="P193" s="202" t="s">
        <v>1511</v>
      </c>
      <c r="Q193" s="202" t="s">
        <v>1512</v>
      </c>
      <c r="R193" s="202" t="s">
        <v>1513</v>
      </c>
      <c r="S193" s="202" t="s">
        <v>1514</v>
      </c>
    </row>
    <row r="194" spans="1:19">
      <c r="A194" s="202" t="s">
        <v>1515</v>
      </c>
      <c r="B194" s="202" t="s">
        <v>1516</v>
      </c>
      <c r="C194" s="202" t="s">
        <v>1517</v>
      </c>
      <c r="D194" s="202" t="s">
        <v>1501</v>
      </c>
      <c r="E194" s="197"/>
      <c r="F194" s="202" t="s">
        <v>1518</v>
      </c>
      <c r="G194" s="202" t="s">
        <v>1519</v>
      </c>
      <c r="H194" s="202" t="s">
        <v>1520</v>
      </c>
      <c r="I194" s="202" t="s">
        <v>1521</v>
      </c>
      <c r="J194" s="197"/>
      <c r="K194" s="202" t="s">
        <v>1522</v>
      </c>
      <c r="L194" s="202" t="s">
        <v>1523</v>
      </c>
      <c r="M194" s="202" t="s">
        <v>1524</v>
      </c>
      <c r="N194" s="202" t="s">
        <v>1525</v>
      </c>
      <c r="O194" s="197"/>
      <c r="P194" s="202" t="s">
        <v>1526</v>
      </c>
      <c r="Q194" s="202" t="s">
        <v>1527</v>
      </c>
      <c r="R194" s="202" t="s">
        <v>1528</v>
      </c>
      <c r="S194" s="202" t="s">
        <v>1529</v>
      </c>
    </row>
    <row r="195" spans="1:19">
      <c r="A195" s="202" t="s">
        <v>1530</v>
      </c>
      <c r="B195" s="202" t="s">
        <v>1531</v>
      </c>
      <c r="C195" s="202" t="s">
        <v>1532</v>
      </c>
      <c r="D195" s="202" t="s">
        <v>1533</v>
      </c>
      <c r="E195" s="197"/>
      <c r="F195" s="202" t="s">
        <v>1534</v>
      </c>
      <c r="G195" s="202" t="s">
        <v>1535</v>
      </c>
      <c r="H195" s="202" t="s">
        <v>1536</v>
      </c>
      <c r="I195" s="202" t="s">
        <v>1537</v>
      </c>
      <c r="J195" s="197"/>
      <c r="K195" s="202" t="s">
        <v>1538</v>
      </c>
      <c r="L195" s="202" t="s">
        <v>1539</v>
      </c>
      <c r="M195" s="202" t="s">
        <v>1540</v>
      </c>
      <c r="N195" s="202" t="s">
        <v>1541</v>
      </c>
      <c r="O195" s="197"/>
      <c r="P195" s="202" t="s">
        <v>1542</v>
      </c>
      <c r="Q195" s="202" t="s">
        <v>1543</v>
      </c>
      <c r="R195" s="202" t="s">
        <v>1544</v>
      </c>
      <c r="S195" s="202" t="s">
        <v>1443</v>
      </c>
    </row>
    <row r="196" spans="1:19">
      <c r="A196" s="202" t="s">
        <v>1545</v>
      </c>
      <c r="B196" s="202" t="s">
        <v>1546</v>
      </c>
      <c r="C196" s="202" t="s">
        <v>1547</v>
      </c>
      <c r="D196" s="202" t="s">
        <v>1531</v>
      </c>
      <c r="E196" s="197"/>
      <c r="F196" s="202" t="s">
        <v>1548</v>
      </c>
      <c r="G196" s="202" t="s">
        <v>1549</v>
      </c>
      <c r="H196" s="202" t="s">
        <v>1550</v>
      </c>
      <c r="I196" s="202" t="s">
        <v>1551</v>
      </c>
      <c r="J196" s="197"/>
      <c r="K196" s="202" t="s">
        <v>1552</v>
      </c>
      <c r="L196" s="202" t="s">
        <v>1553</v>
      </c>
      <c r="M196" s="202" t="s">
        <v>1554</v>
      </c>
      <c r="N196" s="202" t="s">
        <v>1555</v>
      </c>
      <c r="O196" s="197"/>
      <c r="P196" s="202" t="s">
        <v>1556</v>
      </c>
      <c r="Q196" s="202" t="s">
        <v>1557</v>
      </c>
      <c r="R196" s="202" t="s">
        <v>1558</v>
      </c>
      <c r="S196" s="202" t="s">
        <v>1559</v>
      </c>
    </row>
    <row r="197" spans="1:19">
      <c r="A197" s="202" t="s">
        <v>1560</v>
      </c>
      <c r="B197" s="202" t="s">
        <v>1561</v>
      </c>
      <c r="C197" s="202" t="s">
        <v>1562</v>
      </c>
      <c r="D197" s="202" t="s">
        <v>1563</v>
      </c>
      <c r="E197" s="197"/>
      <c r="F197" s="202" t="s">
        <v>1564</v>
      </c>
      <c r="G197" s="202" t="s">
        <v>1565</v>
      </c>
      <c r="H197" s="202" t="s">
        <v>1566</v>
      </c>
      <c r="I197" s="202" t="s">
        <v>1567</v>
      </c>
      <c r="J197" s="197"/>
      <c r="K197" s="202" t="s">
        <v>1568</v>
      </c>
      <c r="L197" s="202" t="s">
        <v>1569</v>
      </c>
      <c r="M197" s="202" t="s">
        <v>1570</v>
      </c>
      <c r="N197" s="202" t="s">
        <v>1571</v>
      </c>
      <c r="O197" s="197"/>
      <c r="P197" s="202" t="s">
        <v>1572</v>
      </c>
      <c r="Q197" s="202" t="s">
        <v>1573</v>
      </c>
      <c r="R197" s="202" t="s">
        <v>1574</v>
      </c>
      <c r="S197" s="202" t="s">
        <v>1471</v>
      </c>
    </row>
    <row r="198" spans="1:19">
      <c r="A198" s="202" t="s">
        <v>1575</v>
      </c>
      <c r="B198" s="202" t="s">
        <v>878</v>
      </c>
      <c r="C198" s="202" t="s">
        <v>892</v>
      </c>
      <c r="D198" s="202" t="s">
        <v>1576</v>
      </c>
      <c r="E198" s="197"/>
      <c r="F198" s="202" t="s">
        <v>1577</v>
      </c>
      <c r="G198" s="202" t="s">
        <v>1578</v>
      </c>
      <c r="H198" s="202" t="s">
        <v>1579</v>
      </c>
      <c r="I198" s="202" t="s">
        <v>1580</v>
      </c>
      <c r="J198" s="197"/>
      <c r="K198" s="202" t="s">
        <v>1581</v>
      </c>
      <c r="L198" s="202" t="s">
        <v>1582</v>
      </c>
      <c r="M198" s="202" t="s">
        <v>1583</v>
      </c>
      <c r="N198" s="202" t="s">
        <v>1584</v>
      </c>
      <c r="O198" s="197"/>
      <c r="P198" s="202" t="s">
        <v>1585</v>
      </c>
      <c r="Q198" s="202" t="s">
        <v>1486</v>
      </c>
      <c r="R198" s="202" t="s">
        <v>1586</v>
      </c>
      <c r="S198" s="202" t="s">
        <v>1587</v>
      </c>
    </row>
    <row r="199" spans="1:19">
      <c r="A199" s="197"/>
      <c r="B199" s="197"/>
      <c r="C199" s="197"/>
      <c r="D199" s="197"/>
      <c r="E199" s="197"/>
      <c r="F199" s="203"/>
      <c r="G199" s="203"/>
      <c r="H199" s="203"/>
      <c r="I199" s="203"/>
      <c r="J199" s="197"/>
      <c r="K199" s="197"/>
      <c r="L199" s="197"/>
      <c r="M199" s="197"/>
      <c r="N199" s="197"/>
      <c r="O199" s="197"/>
      <c r="P199" s="197"/>
      <c r="Q199" s="197"/>
      <c r="R199" s="197"/>
      <c r="S199" s="197"/>
    </row>
    <row r="200" spans="1:19">
      <c r="A200" s="196" t="s">
        <v>1588</v>
      </c>
      <c r="B200" s="197"/>
      <c r="C200" s="197"/>
      <c r="D200" s="197"/>
      <c r="E200" s="197"/>
      <c r="F200" s="204"/>
      <c r="G200" s="204"/>
      <c r="H200" s="204"/>
      <c r="I200" s="204"/>
      <c r="J200" s="197"/>
      <c r="K200" s="197"/>
      <c r="L200" s="197"/>
      <c r="M200" s="197"/>
      <c r="N200" s="197"/>
      <c r="O200" s="197"/>
      <c r="P200" s="197"/>
      <c r="Q200" s="197"/>
      <c r="R200" s="197"/>
      <c r="S200" s="197"/>
    </row>
  </sheetData>
  <phoneticPr fontId="5" type="noConversion"/>
  <pageMargins left="0.78740157499999996" right="0.78740157499999996" top="0.64" bottom="0.67" header="0.31" footer="0.25"/>
  <pageSetup paperSize="9" orientation="landscape" horizontalDpi="4294967293" r:id="rId1"/>
  <headerFooter alignWithMargins="0">
    <oddHeader>&amp;R&amp;"Magneto,Fett"&amp;20Eige&amp;16 &amp;"Frutiger LT 45 Light,Standard"&amp;12Bier</oddHeader>
    <oddFooter>&amp;L&amp;8 6.8.2013, Hans und Peter&amp;C&amp;8Grundwerte&amp;R&amp;8&amp;F</oddFooter>
  </headerFooter>
  <drawing r:id="rId2"/>
  <legacyDrawing r:id="rId3"/>
  <oleObjects>
    <mc:AlternateContent xmlns:mc="http://schemas.openxmlformats.org/markup-compatibility/2006">
      <mc:Choice Requires="x14">
        <oleObject progId="Equation.3" shapeId="3104" r:id="rId4">
          <objectPr defaultSize="0" autoPict="0" r:id="rId5">
            <anchor moveWithCells="1" sizeWithCells="1">
              <from>
                <xdr:col>0</xdr:col>
                <xdr:colOff>47625</xdr:colOff>
                <xdr:row>126</xdr:row>
                <xdr:rowOff>114300</xdr:rowOff>
              </from>
              <to>
                <xdr:col>2</xdr:col>
                <xdr:colOff>466725</xdr:colOff>
                <xdr:row>129</xdr:row>
                <xdr:rowOff>47625</xdr:rowOff>
              </to>
            </anchor>
          </objectPr>
        </oleObject>
      </mc:Choice>
      <mc:Fallback>
        <oleObject progId="Equation.3" shapeId="3104"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
  <dimension ref="A1:K34"/>
  <sheetViews>
    <sheetView zoomScaleNormal="100" workbookViewId="0">
      <selection activeCell="F33" sqref="F33"/>
    </sheetView>
  </sheetViews>
  <sheetFormatPr baseColWidth="10" defaultColWidth="11.42578125" defaultRowHeight="12.75"/>
  <cols>
    <col min="1" max="1" width="15" style="624" customWidth="1"/>
    <col min="2" max="11" width="9.42578125" style="624" customWidth="1"/>
    <col min="12" max="16384" width="11.42578125" style="624"/>
  </cols>
  <sheetData>
    <row r="1" spans="1:11" ht="18.75">
      <c r="A1" s="622" t="s">
        <v>1621</v>
      </c>
      <c r="B1" s="623"/>
      <c r="C1" s="623"/>
      <c r="D1" s="623"/>
      <c r="E1" s="623"/>
      <c r="F1" s="623"/>
      <c r="G1" s="623"/>
      <c r="H1" s="623"/>
      <c r="I1" s="623"/>
      <c r="J1" s="623"/>
      <c r="K1" s="623"/>
    </row>
    <row r="2" spans="1:11" ht="21.75" customHeight="1">
      <c r="A2" s="622"/>
      <c r="B2" s="623"/>
      <c r="C2" s="623"/>
      <c r="D2" s="623"/>
      <c r="E2" s="623"/>
      <c r="F2" s="623"/>
      <c r="G2" s="623"/>
      <c r="H2" s="623"/>
      <c r="I2" s="623"/>
      <c r="J2" s="623"/>
      <c r="K2" s="623"/>
    </row>
    <row r="3" spans="1:11" ht="21.75" customHeight="1">
      <c r="A3" s="622"/>
      <c r="B3" s="623"/>
      <c r="C3" s="623"/>
      <c r="D3" s="623"/>
      <c r="E3" s="623"/>
      <c r="F3" s="623"/>
      <c r="G3" s="623"/>
      <c r="H3" s="623"/>
      <c r="I3" s="623"/>
      <c r="J3" s="623"/>
      <c r="K3" s="623"/>
    </row>
    <row r="4" spans="1:11" ht="21.75" customHeight="1">
      <c r="A4" s="622"/>
      <c r="B4" s="623"/>
      <c r="C4" s="623"/>
      <c r="D4" s="623"/>
      <c r="E4" s="623"/>
      <c r="F4" s="623"/>
      <c r="G4" s="623"/>
      <c r="H4" s="623"/>
      <c r="I4" s="623"/>
      <c r="J4" s="623"/>
      <c r="K4" s="623"/>
    </row>
    <row r="5" spans="1:11" ht="21.75" customHeight="1">
      <c r="A5" s="625"/>
      <c r="B5" s="625"/>
      <c r="C5" s="625"/>
      <c r="D5" s="625"/>
      <c r="E5" s="625"/>
      <c r="F5" s="625"/>
      <c r="G5" s="625"/>
      <c r="H5" s="625"/>
      <c r="I5" s="625"/>
      <c r="J5" s="625"/>
      <c r="K5" s="625"/>
    </row>
    <row r="6" spans="1:11" ht="21.75" customHeight="1"/>
    <row r="7" spans="1:11" s="626" customFormat="1" ht="15">
      <c r="A7" s="629"/>
      <c r="B7" s="706" t="s">
        <v>1622</v>
      </c>
      <c r="C7" s="707"/>
      <c r="D7" s="707"/>
      <c r="E7" s="707"/>
      <c r="F7" s="707"/>
      <c r="G7" s="707"/>
      <c r="H7" s="707"/>
      <c r="I7" s="707"/>
      <c r="J7" s="707"/>
      <c r="K7" s="708"/>
    </row>
    <row r="8" spans="1:11" s="626" customFormat="1" ht="15">
      <c r="A8" s="630"/>
      <c r="B8" s="631">
        <v>10</v>
      </c>
      <c r="C8" s="632">
        <v>20</v>
      </c>
      <c r="D8" s="632">
        <v>30</v>
      </c>
      <c r="E8" s="632">
        <v>40</v>
      </c>
      <c r="F8" s="632">
        <v>50</v>
      </c>
      <c r="G8" s="632">
        <v>60</v>
      </c>
      <c r="H8" s="632">
        <v>70</v>
      </c>
      <c r="I8" s="632">
        <v>80</v>
      </c>
      <c r="J8" s="632">
        <v>90</v>
      </c>
      <c r="K8" s="633">
        <v>100</v>
      </c>
    </row>
    <row r="9" spans="1:11" s="626" customFormat="1" ht="15">
      <c r="A9" s="582" t="s">
        <v>1623</v>
      </c>
      <c r="B9" s="709" t="s">
        <v>1624</v>
      </c>
      <c r="C9" s="710"/>
      <c r="D9" s="710"/>
      <c r="E9" s="710"/>
      <c r="F9" s="710"/>
      <c r="G9" s="710"/>
      <c r="H9" s="710"/>
      <c r="I9" s="710"/>
      <c r="J9" s="710"/>
      <c r="K9" s="711"/>
    </row>
    <row r="10" spans="1:11" s="626" customFormat="1" ht="16.5" customHeight="1">
      <c r="A10" s="583">
        <v>10</v>
      </c>
      <c r="B10" s="584">
        <f>SUM(($A$10*0.0167*4.18*92)/(0.5*$B$8))</f>
        <v>12.844303999999999</v>
      </c>
      <c r="C10" s="584">
        <f t="shared" ref="C10:K10" si="0">SUM(($A$10*0.0167*4.18*92)/(0.5*C8))</f>
        <v>6.4221519999999996</v>
      </c>
      <c r="D10" s="584">
        <f t="shared" si="0"/>
        <v>4.2814346666666667</v>
      </c>
      <c r="E10" s="584">
        <f t="shared" si="0"/>
        <v>3.2110759999999998</v>
      </c>
      <c r="F10" s="584">
        <f t="shared" si="0"/>
        <v>2.5688607999999999</v>
      </c>
      <c r="G10" s="584">
        <f t="shared" si="0"/>
        <v>2.1407173333333334</v>
      </c>
      <c r="H10" s="584">
        <f t="shared" si="0"/>
        <v>1.8349005714285713</v>
      </c>
      <c r="I10" s="584">
        <f t="shared" si="0"/>
        <v>1.6055379999999999</v>
      </c>
      <c r="J10" s="584">
        <f t="shared" si="0"/>
        <v>1.4271448888888889</v>
      </c>
      <c r="K10" s="584">
        <f t="shared" si="0"/>
        <v>1.2844304</v>
      </c>
    </row>
    <row r="11" spans="1:11" s="626" customFormat="1" ht="16.5" customHeight="1">
      <c r="A11" s="585">
        <v>20</v>
      </c>
      <c r="B11" s="586">
        <f t="shared" ref="B11:K11" si="1">SUM(($A$11*0.0167*4.18*92)/(0.5*B8))</f>
        <v>25.688607999999999</v>
      </c>
      <c r="C11" s="586">
        <f t="shared" si="1"/>
        <v>12.844303999999999</v>
      </c>
      <c r="D11" s="586">
        <f t="shared" si="1"/>
        <v>8.5628693333333334</v>
      </c>
      <c r="E11" s="586">
        <f t="shared" si="1"/>
        <v>6.4221519999999996</v>
      </c>
      <c r="F11" s="586">
        <f t="shared" si="1"/>
        <v>5.1377215999999999</v>
      </c>
      <c r="G11" s="586">
        <f t="shared" si="1"/>
        <v>4.2814346666666667</v>
      </c>
      <c r="H11" s="586">
        <f t="shared" si="1"/>
        <v>3.6698011428571427</v>
      </c>
      <c r="I11" s="586">
        <f t="shared" si="1"/>
        <v>3.2110759999999998</v>
      </c>
      <c r="J11" s="586">
        <f t="shared" si="1"/>
        <v>2.8542897777777778</v>
      </c>
      <c r="K11" s="586">
        <f t="shared" si="1"/>
        <v>2.5688607999999999</v>
      </c>
    </row>
    <row r="12" spans="1:11" s="626" customFormat="1" ht="16.5" customHeight="1">
      <c r="A12" s="585">
        <v>30</v>
      </c>
      <c r="B12" s="586">
        <f t="shared" ref="B12:K12" si="2">SUM(($A$12*0.0167*4.18*92)/(0.5*B8))</f>
        <v>38.532911999999996</v>
      </c>
      <c r="C12" s="586">
        <f t="shared" si="2"/>
        <v>19.266455999999998</v>
      </c>
      <c r="D12" s="586">
        <f t="shared" si="2"/>
        <v>12.844303999999998</v>
      </c>
      <c r="E12" s="586">
        <f t="shared" si="2"/>
        <v>9.633227999999999</v>
      </c>
      <c r="F12" s="586">
        <f t="shared" si="2"/>
        <v>7.7065823999999985</v>
      </c>
      <c r="G12" s="586">
        <f t="shared" si="2"/>
        <v>6.4221519999999988</v>
      </c>
      <c r="H12" s="586">
        <f t="shared" si="2"/>
        <v>5.5047017142857131</v>
      </c>
      <c r="I12" s="586">
        <f t="shared" si="2"/>
        <v>4.8166139999999995</v>
      </c>
      <c r="J12" s="586">
        <f t="shared" si="2"/>
        <v>4.2814346666666658</v>
      </c>
      <c r="K12" s="586">
        <f t="shared" si="2"/>
        <v>3.8532911999999993</v>
      </c>
    </row>
    <row r="13" spans="1:11" s="626" customFormat="1" ht="16.5" customHeight="1">
      <c r="A13" s="585">
        <v>40</v>
      </c>
      <c r="B13" s="586">
        <f t="shared" ref="B13:K13" si="3">SUM(($A$13*0.0167*4.18*92)/(0.5*B8))</f>
        <v>51.377215999999997</v>
      </c>
      <c r="C13" s="586">
        <f t="shared" si="3"/>
        <v>25.688607999999999</v>
      </c>
      <c r="D13" s="586">
        <f t="shared" si="3"/>
        <v>17.125738666666667</v>
      </c>
      <c r="E13" s="586">
        <f t="shared" si="3"/>
        <v>12.844303999999999</v>
      </c>
      <c r="F13" s="586">
        <f t="shared" si="3"/>
        <v>10.2754432</v>
      </c>
      <c r="G13" s="586">
        <f t="shared" si="3"/>
        <v>8.5628693333333334</v>
      </c>
      <c r="H13" s="586">
        <f t="shared" si="3"/>
        <v>7.3396022857142853</v>
      </c>
      <c r="I13" s="586">
        <f t="shared" si="3"/>
        <v>6.4221519999999996</v>
      </c>
      <c r="J13" s="586">
        <f t="shared" si="3"/>
        <v>5.7085795555555556</v>
      </c>
      <c r="K13" s="586">
        <f t="shared" si="3"/>
        <v>5.1377215999999999</v>
      </c>
    </row>
    <row r="14" spans="1:11" s="626" customFormat="1" ht="16.5" customHeight="1">
      <c r="A14" s="585">
        <v>50</v>
      </c>
      <c r="B14" s="586">
        <f t="shared" ref="B14:K14" si="4">SUM(($A$14*0.0167*4.18*92)/(0.5*B8))</f>
        <v>64.221519999999984</v>
      </c>
      <c r="C14" s="586">
        <f t="shared" si="4"/>
        <v>32.110759999999992</v>
      </c>
      <c r="D14" s="586">
        <f t="shared" si="4"/>
        <v>21.407173333333329</v>
      </c>
      <c r="E14" s="586">
        <f t="shared" si="4"/>
        <v>16.055379999999996</v>
      </c>
      <c r="F14" s="586">
        <f t="shared" si="4"/>
        <v>12.844303999999998</v>
      </c>
      <c r="G14" s="586">
        <f t="shared" si="4"/>
        <v>10.703586666666665</v>
      </c>
      <c r="H14" s="586">
        <f t="shared" si="4"/>
        <v>9.1745028571428549</v>
      </c>
      <c r="I14" s="586">
        <f t="shared" si="4"/>
        <v>8.027689999999998</v>
      </c>
      <c r="J14" s="586">
        <f t="shared" si="4"/>
        <v>7.1357244444444428</v>
      </c>
      <c r="K14" s="586">
        <f t="shared" si="4"/>
        <v>6.4221519999999988</v>
      </c>
    </row>
    <row r="15" spans="1:11" s="626" customFormat="1" ht="16.5" customHeight="1">
      <c r="A15" s="585">
        <v>60</v>
      </c>
      <c r="B15" s="586">
        <f t="shared" ref="B15:K15" si="5">SUM(($A$15*0.0167*4.18*92)/(0.5*B8))</f>
        <v>77.065823999999992</v>
      </c>
      <c r="C15" s="586">
        <f t="shared" si="5"/>
        <v>38.532911999999996</v>
      </c>
      <c r="D15" s="586">
        <f t="shared" si="5"/>
        <v>25.688607999999995</v>
      </c>
      <c r="E15" s="586">
        <f t="shared" si="5"/>
        <v>19.266455999999998</v>
      </c>
      <c r="F15" s="586">
        <f t="shared" si="5"/>
        <v>15.413164799999997</v>
      </c>
      <c r="G15" s="586">
        <f t="shared" si="5"/>
        <v>12.844303999999998</v>
      </c>
      <c r="H15" s="586">
        <f t="shared" si="5"/>
        <v>11.009403428571426</v>
      </c>
      <c r="I15" s="586">
        <f t="shared" si="5"/>
        <v>9.633227999999999</v>
      </c>
      <c r="J15" s="586">
        <f t="shared" si="5"/>
        <v>8.5628693333333317</v>
      </c>
      <c r="K15" s="586">
        <f t="shared" si="5"/>
        <v>7.7065823999999985</v>
      </c>
    </row>
    <row r="16" spans="1:11" s="626" customFormat="1" ht="16.5" customHeight="1">
      <c r="A16" s="585">
        <v>70</v>
      </c>
      <c r="B16" s="586">
        <f t="shared" ref="B16:K16" si="6">SUM(($A$16*0.0167*4.18*92)/(0.5*B8))</f>
        <v>89.910128000000014</v>
      </c>
      <c r="C16" s="586">
        <f t="shared" si="6"/>
        <v>44.955064000000007</v>
      </c>
      <c r="D16" s="586">
        <f t="shared" si="6"/>
        <v>29.970042666666668</v>
      </c>
      <c r="E16" s="586">
        <f t="shared" si="6"/>
        <v>22.477532000000004</v>
      </c>
      <c r="F16" s="586">
        <f t="shared" si="6"/>
        <v>17.9820256</v>
      </c>
      <c r="G16" s="586">
        <f t="shared" si="6"/>
        <v>14.985021333333334</v>
      </c>
      <c r="H16" s="586">
        <f t="shared" si="6"/>
        <v>12.844304000000001</v>
      </c>
      <c r="I16" s="586">
        <f t="shared" si="6"/>
        <v>11.238766000000002</v>
      </c>
      <c r="J16" s="586">
        <f t="shared" si="6"/>
        <v>9.9900142222222232</v>
      </c>
      <c r="K16" s="586">
        <f t="shared" si="6"/>
        <v>8.9910128</v>
      </c>
    </row>
    <row r="17" spans="1:11" s="626" customFormat="1" ht="16.5" customHeight="1">
      <c r="A17" s="585">
        <v>80</v>
      </c>
      <c r="B17" s="586">
        <f t="shared" ref="B17:K17" si="7">SUM(($A$17*0.0167*4.18*92)/(0.5*B8))</f>
        <v>102.75443199999999</v>
      </c>
      <c r="C17" s="586">
        <f t="shared" si="7"/>
        <v>51.377215999999997</v>
      </c>
      <c r="D17" s="586">
        <f t="shared" si="7"/>
        <v>34.251477333333334</v>
      </c>
      <c r="E17" s="586">
        <f t="shared" si="7"/>
        <v>25.688607999999999</v>
      </c>
      <c r="F17" s="586">
        <f t="shared" si="7"/>
        <v>20.5508864</v>
      </c>
      <c r="G17" s="586">
        <f t="shared" si="7"/>
        <v>17.125738666666667</v>
      </c>
      <c r="H17" s="586">
        <f t="shared" si="7"/>
        <v>14.679204571428571</v>
      </c>
      <c r="I17" s="586">
        <f t="shared" si="7"/>
        <v>12.844303999999999</v>
      </c>
      <c r="J17" s="586">
        <f t="shared" si="7"/>
        <v>11.417159111111111</v>
      </c>
      <c r="K17" s="586">
        <f t="shared" si="7"/>
        <v>10.2754432</v>
      </c>
    </row>
    <row r="18" spans="1:11" s="626" customFormat="1" ht="16.5" customHeight="1">
      <c r="A18" s="585">
        <v>90</v>
      </c>
      <c r="B18" s="586">
        <f t="shared" ref="B18:K18" si="8">SUM(($A$18*0.0167*4.18*92)/(0.5*B8))</f>
        <v>115.59873599999999</v>
      </c>
      <c r="C18" s="586">
        <f t="shared" si="8"/>
        <v>57.799367999999994</v>
      </c>
      <c r="D18" s="586">
        <f t="shared" si="8"/>
        <v>38.532911999999996</v>
      </c>
      <c r="E18" s="586">
        <f t="shared" si="8"/>
        <v>28.899683999999997</v>
      </c>
      <c r="F18" s="586">
        <f t="shared" si="8"/>
        <v>23.119747199999996</v>
      </c>
      <c r="G18" s="586">
        <f t="shared" si="8"/>
        <v>19.266455999999998</v>
      </c>
      <c r="H18" s="586">
        <f t="shared" si="8"/>
        <v>16.51410514285714</v>
      </c>
      <c r="I18" s="586">
        <f t="shared" si="8"/>
        <v>14.449841999999999</v>
      </c>
      <c r="J18" s="586">
        <f t="shared" si="8"/>
        <v>12.844303999999998</v>
      </c>
      <c r="K18" s="586">
        <f t="shared" si="8"/>
        <v>11.559873599999998</v>
      </c>
    </row>
    <row r="19" spans="1:11" s="626" customFormat="1" ht="16.5" customHeight="1">
      <c r="A19" s="585">
        <v>100</v>
      </c>
      <c r="B19" s="586">
        <f t="shared" ref="B19:K19" si="9">SUM(($A$19*0.0167*4.18*92)/(0.5*B8))</f>
        <v>128.44303999999997</v>
      </c>
      <c r="C19" s="586">
        <f t="shared" si="9"/>
        <v>64.221519999999984</v>
      </c>
      <c r="D19" s="586">
        <f t="shared" si="9"/>
        <v>42.814346666666658</v>
      </c>
      <c r="E19" s="586">
        <f t="shared" si="9"/>
        <v>32.110759999999992</v>
      </c>
      <c r="F19" s="586">
        <f t="shared" si="9"/>
        <v>25.688607999999995</v>
      </c>
      <c r="G19" s="586">
        <f t="shared" si="9"/>
        <v>21.407173333333329</v>
      </c>
      <c r="H19" s="586">
        <f t="shared" si="9"/>
        <v>18.34900571428571</v>
      </c>
      <c r="I19" s="586">
        <f t="shared" si="9"/>
        <v>16.055379999999996</v>
      </c>
      <c r="J19" s="586">
        <f t="shared" si="9"/>
        <v>14.271448888888886</v>
      </c>
      <c r="K19" s="586">
        <f t="shared" si="9"/>
        <v>12.844303999999998</v>
      </c>
    </row>
    <row r="20" spans="1:11" s="626" customFormat="1" ht="16.5" customHeight="1">
      <c r="A20" s="585">
        <v>110</v>
      </c>
      <c r="B20" s="586">
        <f t="shared" ref="B20:K20" si="10">SUM(($A$20*0.0167*4.18*92)/(0.5*B8))</f>
        <v>141.28734399999999</v>
      </c>
      <c r="C20" s="586">
        <f t="shared" si="10"/>
        <v>70.643671999999995</v>
      </c>
      <c r="D20" s="586">
        <f t="shared" si="10"/>
        <v>47.095781333333328</v>
      </c>
      <c r="E20" s="586">
        <f t="shared" si="10"/>
        <v>35.321835999999998</v>
      </c>
      <c r="F20" s="586">
        <f t="shared" si="10"/>
        <v>28.257468799999998</v>
      </c>
      <c r="G20" s="586">
        <f t="shared" si="10"/>
        <v>23.547890666666664</v>
      </c>
      <c r="H20" s="586">
        <f t="shared" si="10"/>
        <v>20.183906285714283</v>
      </c>
      <c r="I20" s="586">
        <f t="shared" si="10"/>
        <v>17.660917999999999</v>
      </c>
      <c r="J20" s="586">
        <f t="shared" si="10"/>
        <v>15.698593777777775</v>
      </c>
      <c r="K20" s="586">
        <f t="shared" si="10"/>
        <v>14.128734399999999</v>
      </c>
    </row>
    <row r="21" spans="1:11" s="626" customFormat="1" ht="16.5" customHeight="1">
      <c r="A21" s="585">
        <v>120</v>
      </c>
      <c r="B21" s="586">
        <f t="shared" ref="B21:K21" si="11">SUM(($A$21*0.0167*4.18*92)/(0.5*B8))</f>
        <v>154.13164799999998</v>
      </c>
      <c r="C21" s="586">
        <f t="shared" si="11"/>
        <v>77.065823999999992</v>
      </c>
      <c r="D21" s="586">
        <f t="shared" si="11"/>
        <v>51.37721599999999</v>
      </c>
      <c r="E21" s="586">
        <f t="shared" si="11"/>
        <v>38.532911999999996</v>
      </c>
      <c r="F21" s="586">
        <f t="shared" si="11"/>
        <v>30.826329599999994</v>
      </c>
      <c r="G21" s="586">
        <f t="shared" si="11"/>
        <v>25.688607999999995</v>
      </c>
      <c r="H21" s="586">
        <f t="shared" si="11"/>
        <v>22.018806857142852</v>
      </c>
      <c r="I21" s="586">
        <f t="shared" si="11"/>
        <v>19.266455999999998</v>
      </c>
      <c r="J21" s="586">
        <f t="shared" si="11"/>
        <v>17.125738666666663</v>
      </c>
      <c r="K21" s="586">
        <f t="shared" si="11"/>
        <v>15.413164799999997</v>
      </c>
    </row>
    <row r="22" spans="1:11" s="626" customFormat="1" ht="16.5" customHeight="1">
      <c r="A22" s="585">
        <v>130</v>
      </c>
      <c r="B22" s="586">
        <f t="shared" ref="B22:K22" si="12">SUM(($A$22*0.0167*4.18*92)/(0.5*B8))</f>
        <v>166.97595199999998</v>
      </c>
      <c r="C22" s="586">
        <f t="shared" si="12"/>
        <v>83.487975999999989</v>
      </c>
      <c r="D22" s="586">
        <f t="shared" si="12"/>
        <v>55.658650666666659</v>
      </c>
      <c r="E22" s="586">
        <f t="shared" si="12"/>
        <v>41.743987999999995</v>
      </c>
      <c r="F22" s="586">
        <f t="shared" si="12"/>
        <v>33.395190399999997</v>
      </c>
      <c r="G22" s="586">
        <f t="shared" si="12"/>
        <v>27.82932533333333</v>
      </c>
      <c r="H22" s="586">
        <f t="shared" si="12"/>
        <v>23.853707428571425</v>
      </c>
      <c r="I22" s="586">
        <f t="shared" si="12"/>
        <v>20.871993999999997</v>
      </c>
      <c r="J22" s="586">
        <f t="shared" si="12"/>
        <v>18.552883555555553</v>
      </c>
      <c r="K22" s="586">
        <f t="shared" si="12"/>
        <v>16.697595199999999</v>
      </c>
    </row>
    <row r="23" spans="1:11" s="626" customFormat="1" ht="16.5" customHeight="1">
      <c r="A23" s="585">
        <v>140</v>
      </c>
      <c r="B23" s="586">
        <f t="shared" ref="B23:K23" si="13">SUM(($A$23*0.0167*4.18*92)/(0.5*B8))</f>
        <v>179.82025600000003</v>
      </c>
      <c r="C23" s="586">
        <f t="shared" si="13"/>
        <v>89.910128000000014</v>
      </c>
      <c r="D23" s="586">
        <f t="shared" si="13"/>
        <v>59.940085333333336</v>
      </c>
      <c r="E23" s="586">
        <f t="shared" si="13"/>
        <v>44.955064000000007</v>
      </c>
      <c r="F23" s="586">
        <f t="shared" si="13"/>
        <v>35.9640512</v>
      </c>
      <c r="G23" s="586">
        <f t="shared" si="13"/>
        <v>29.970042666666668</v>
      </c>
      <c r="H23" s="586">
        <f t="shared" si="13"/>
        <v>25.688608000000002</v>
      </c>
      <c r="I23" s="586">
        <f t="shared" si="13"/>
        <v>22.477532000000004</v>
      </c>
      <c r="J23" s="586">
        <f t="shared" si="13"/>
        <v>19.980028444444446</v>
      </c>
      <c r="K23" s="586">
        <f t="shared" si="13"/>
        <v>17.9820256</v>
      </c>
    </row>
    <row r="24" spans="1:11" s="626" customFormat="1" ht="16.5" customHeight="1">
      <c r="A24" s="585">
        <v>150</v>
      </c>
      <c r="B24" s="587">
        <f t="shared" ref="B24:K24" si="14">SUM(($A$24*0.0167*4.18*92)/(0.5*B8))</f>
        <v>192.66455999999999</v>
      </c>
      <c r="C24" s="587">
        <f t="shared" si="14"/>
        <v>96.332279999999997</v>
      </c>
      <c r="D24" s="587">
        <f t="shared" si="14"/>
        <v>64.221519999999998</v>
      </c>
      <c r="E24" s="587">
        <f t="shared" si="14"/>
        <v>48.166139999999999</v>
      </c>
      <c r="F24" s="587">
        <f t="shared" si="14"/>
        <v>38.532911999999996</v>
      </c>
      <c r="G24" s="587">
        <f t="shared" si="14"/>
        <v>32.110759999999999</v>
      </c>
      <c r="H24" s="587">
        <f t="shared" si="14"/>
        <v>27.523508571428568</v>
      </c>
      <c r="I24" s="587">
        <f t="shared" si="14"/>
        <v>24.083069999999999</v>
      </c>
      <c r="J24" s="587">
        <f t="shared" si="14"/>
        <v>21.407173333333333</v>
      </c>
      <c r="K24" s="587">
        <f t="shared" si="14"/>
        <v>19.266455999999998</v>
      </c>
    </row>
    <row r="27" spans="1:11" s="596" customFormat="1" ht="15">
      <c r="A27" s="627" t="s">
        <v>1980</v>
      </c>
    </row>
    <row r="28" spans="1:11" s="596" customFormat="1" ht="15">
      <c r="A28" s="628" t="s">
        <v>1979</v>
      </c>
    </row>
    <row r="29" spans="1:11" s="596" customFormat="1" ht="15">
      <c r="A29" s="628" t="s">
        <v>2045</v>
      </c>
    </row>
    <row r="30" spans="1:11" s="596" customFormat="1"/>
    <row r="32" spans="1:11" ht="16.5">
      <c r="B32" s="623"/>
      <c r="C32" s="623"/>
      <c r="D32" s="623"/>
      <c r="E32" s="623"/>
      <c r="F32" s="623"/>
      <c r="G32" s="623"/>
      <c r="H32" s="623"/>
      <c r="I32" s="623"/>
      <c r="J32" s="623"/>
      <c r="K32" s="623"/>
    </row>
    <row r="33" spans="2:11" ht="16.5">
      <c r="B33" s="623"/>
      <c r="C33" s="623"/>
      <c r="D33" s="623"/>
      <c r="E33" s="623"/>
      <c r="F33" s="623"/>
      <c r="G33" s="623"/>
      <c r="H33" s="623"/>
      <c r="I33" s="623"/>
      <c r="J33" s="623"/>
      <c r="K33" s="623"/>
    </row>
    <row r="34" spans="2:11" ht="16.5">
      <c r="B34" s="623"/>
      <c r="C34" s="623"/>
      <c r="D34" s="623"/>
      <c r="E34" s="623"/>
      <c r="F34" s="623"/>
      <c r="G34" s="623"/>
      <c r="H34" s="623"/>
      <c r="I34" s="623"/>
      <c r="J34" s="623"/>
      <c r="K34" s="623"/>
    </row>
  </sheetData>
  <mergeCells count="2">
    <mergeCell ref="B7:K7"/>
    <mergeCell ref="B9:K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1">
    <tabColor rgb="FFFFC000"/>
  </sheetPr>
  <dimension ref="B1:H84"/>
  <sheetViews>
    <sheetView tabSelected="1" zoomScale="115" zoomScaleNormal="115" workbookViewId="0">
      <selection activeCell="E9" sqref="E9"/>
    </sheetView>
  </sheetViews>
  <sheetFormatPr baseColWidth="10" defaultColWidth="11.42578125" defaultRowHeight="15"/>
  <cols>
    <col min="1" max="1" width="1.42578125" style="41" customWidth="1"/>
    <col min="2" max="2" width="8.42578125" style="41" customWidth="1"/>
    <col min="3" max="3" width="20.42578125" style="41" customWidth="1"/>
    <col min="4" max="4" width="10.5703125" style="41" customWidth="1"/>
    <col min="5" max="6" width="10" style="41" customWidth="1"/>
    <col min="7" max="7" width="23.42578125" style="41" customWidth="1"/>
    <col min="8" max="8" width="1.28515625" style="41" customWidth="1"/>
    <col min="9" max="16384" width="11.42578125" style="41"/>
  </cols>
  <sheetData>
    <row r="1" spans="2:7" ht="18.75">
      <c r="B1" s="42" t="s">
        <v>752</v>
      </c>
    </row>
    <row r="3" spans="2:7" s="43" customFormat="1" ht="15" customHeight="1">
      <c r="B3" s="43" t="s">
        <v>810</v>
      </c>
      <c r="C3" s="55"/>
      <c r="E3" s="43" t="s">
        <v>649</v>
      </c>
      <c r="F3" s="55"/>
    </row>
    <row r="4" spans="2:7" s="43" customFormat="1" ht="6" customHeight="1"/>
    <row r="5" spans="2:7" s="43" customFormat="1" ht="15" customHeight="1">
      <c r="E5" s="44" t="s">
        <v>652</v>
      </c>
      <c r="G5" s="44" t="s">
        <v>653</v>
      </c>
    </row>
    <row r="6" spans="2:7" s="43" customFormat="1" ht="6" customHeight="1">
      <c r="E6" s="44"/>
      <c r="G6" s="44"/>
    </row>
    <row r="7" spans="2:7" s="43" customFormat="1" ht="15" customHeight="1">
      <c r="B7" s="44" t="s">
        <v>66</v>
      </c>
      <c r="E7" s="66" t="str">
        <f>""&amp;INDEX(Biersorten!$B$5:$B$79,Biersorten!N5,0)</f>
        <v/>
      </c>
    </row>
    <row r="8" spans="2:7" s="43" customFormat="1" ht="6" customHeight="1">
      <c r="G8" s="44"/>
    </row>
    <row r="9" spans="2:7" s="43" customFormat="1" ht="15" customHeight="1" thickBot="1">
      <c r="B9" s="130" t="s">
        <v>193</v>
      </c>
      <c r="C9" s="130"/>
      <c r="D9" s="130"/>
      <c r="E9" s="386"/>
      <c r="F9" s="157" t="s">
        <v>147</v>
      </c>
      <c r="G9" s="157" t="str">
        <f>"" &amp; INDEX(Biersorten!$G$5:$G$79,Biersorten!N5,0) &amp; ""</f>
        <v/>
      </c>
    </row>
    <row r="10" spans="2:7" s="43" customFormat="1" ht="15" customHeight="1" thickBot="1">
      <c r="B10" s="131" t="s">
        <v>621</v>
      </c>
      <c r="C10" s="131"/>
      <c r="D10" s="131"/>
      <c r="E10" s="112"/>
      <c r="F10" s="158" t="s">
        <v>82</v>
      </c>
      <c r="G10" s="158" t="str">
        <f>""&amp;INDEX(Biersorten!$F$5:$F$79,Biersorten!N5,0)&amp;""</f>
        <v/>
      </c>
    </row>
    <row r="11" spans="2:7" s="43" customFormat="1" ht="15" customHeight="1" thickBot="1">
      <c r="B11" s="131" t="s">
        <v>650</v>
      </c>
      <c r="C11" s="131"/>
      <c r="D11" s="131"/>
      <c r="E11" s="112"/>
      <c r="F11" s="158" t="s">
        <v>69</v>
      </c>
      <c r="G11" s="158" t="str">
        <f>""&amp;INDEX(Biersorten!$E$5:$E$79,Biersorten!N5,0)&amp;""</f>
        <v/>
      </c>
    </row>
    <row r="12" spans="2:7" s="43" customFormat="1" ht="15" customHeight="1">
      <c r="B12" s="131" t="s">
        <v>655</v>
      </c>
      <c r="C12" s="131"/>
      <c r="D12" s="131"/>
      <c r="E12" s="570" t="str">
        <f>G12</f>
        <v>untergärig</v>
      </c>
      <c r="F12" s="158" t="s">
        <v>603</v>
      </c>
      <c r="G12" s="158" t="str">
        <f>"" &amp; IF(INDEX(Biersorten!$I$5:$I$79,Biersorten!N5,0)="x","obergärig","untergärig") &amp; ""</f>
        <v>untergärig</v>
      </c>
    </row>
    <row r="13" spans="2:7" s="43" customFormat="1" ht="15" customHeight="1" thickBot="1">
      <c r="B13" s="131" t="s">
        <v>651</v>
      </c>
      <c r="C13" s="131"/>
      <c r="D13" s="131"/>
      <c r="E13" s="386"/>
      <c r="F13" s="158" t="s">
        <v>147</v>
      </c>
      <c r="G13" s="158" t="str">
        <f>"" &amp;INDEX(Biersorten!$H$5:$H$79,Biersorten!N5,0)&amp;""</f>
        <v/>
      </c>
    </row>
    <row r="14" spans="2:7" s="43" customFormat="1" ht="15" customHeight="1" thickBot="1">
      <c r="B14" s="131" t="s">
        <v>194</v>
      </c>
      <c r="C14" s="131"/>
      <c r="D14" s="131"/>
      <c r="E14" s="112"/>
      <c r="F14" s="158" t="s">
        <v>148</v>
      </c>
      <c r="G14" s="158" t="str">
        <f>"" &amp;INDEX(Biersorten!L5:L79,Biersorten!N5,0)&amp;""</f>
        <v/>
      </c>
    </row>
    <row r="15" spans="2:7" s="43" customFormat="1" ht="15" customHeight="1" thickBot="1">
      <c r="B15" s="131" t="s">
        <v>654</v>
      </c>
      <c r="C15" s="131"/>
      <c r="D15" s="131"/>
      <c r="E15" s="112"/>
      <c r="F15" s="158" t="s">
        <v>706</v>
      </c>
      <c r="G15" s="158" t="str">
        <f>"" &amp;INDEX(Biersorten!K5:K79,Biersorten!N5,0)&amp;""</f>
        <v/>
      </c>
    </row>
    <row r="16" spans="2:7" s="43" customFormat="1" ht="6" customHeight="1">
      <c r="B16" s="167"/>
      <c r="C16" s="167"/>
      <c r="D16" s="167"/>
      <c r="E16" s="69"/>
      <c r="F16" s="168"/>
      <c r="G16" s="45"/>
    </row>
    <row r="17" spans="2:8" s="43" customFormat="1" ht="15" customHeight="1" thickBot="1">
      <c r="B17" s="130" t="s">
        <v>708</v>
      </c>
      <c r="C17" s="130"/>
      <c r="D17" s="130"/>
      <c r="E17" s="111">
        <v>20</v>
      </c>
      <c r="F17" s="157" t="s">
        <v>88</v>
      </c>
      <c r="G17" s="45"/>
    </row>
    <row r="18" spans="2:8" s="43" customFormat="1" ht="15" customHeight="1" thickBot="1">
      <c r="B18" s="131" t="s">
        <v>709</v>
      </c>
      <c r="C18" s="131"/>
      <c r="D18" s="131" t="s">
        <v>1984</v>
      </c>
      <c r="E18" s="589"/>
      <c r="F18" s="158" t="s">
        <v>88</v>
      </c>
    </row>
    <row r="19" spans="2:8" s="43" customFormat="1" ht="15" customHeight="1" thickBot="1">
      <c r="B19" s="131"/>
      <c r="C19" s="131"/>
      <c r="D19" s="131" t="s">
        <v>1981</v>
      </c>
      <c r="E19" s="589"/>
      <c r="F19" s="158" t="s">
        <v>88</v>
      </c>
    </row>
    <row r="20" spans="2:8" s="43" customFormat="1" ht="15" customHeight="1">
      <c r="B20" s="131" t="s">
        <v>2042</v>
      </c>
      <c r="C20" s="131"/>
      <c r="D20" s="131" t="s">
        <v>1640</v>
      </c>
      <c r="E20" s="678">
        <f>SUM(E17+E19)</f>
        <v>20</v>
      </c>
      <c r="F20" s="158" t="s">
        <v>88</v>
      </c>
      <c r="G20" s="679">
        <f>E20*0.96</f>
        <v>19.2</v>
      </c>
    </row>
    <row r="21" spans="2:8" s="43" customFormat="1" ht="15" customHeight="1" thickBot="1">
      <c r="B21" s="131" t="s">
        <v>717</v>
      </c>
      <c r="C21" s="131"/>
      <c r="D21" s="131"/>
      <c r="E21" s="677">
        <v>0.75</v>
      </c>
      <c r="F21" s="158"/>
    </row>
    <row r="22" spans="2:8" ht="6" customHeight="1"/>
    <row r="23" spans="2:8" ht="17.25">
      <c r="B23" s="56" t="s">
        <v>707</v>
      </c>
    </row>
    <row r="24" spans="2:8" ht="6" customHeight="1"/>
    <row r="25" spans="2:8" s="49" customFormat="1" ht="22.5">
      <c r="B25" s="46" t="s">
        <v>20</v>
      </c>
      <c r="C25" s="47" t="s">
        <v>666</v>
      </c>
      <c r="D25" s="48" t="s">
        <v>839</v>
      </c>
      <c r="E25" s="48" t="s">
        <v>21</v>
      </c>
      <c r="F25" s="48" t="s">
        <v>75</v>
      </c>
      <c r="G25" s="47" t="s">
        <v>684</v>
      </c>
      <c r="H25" s="47"/>
    </row>
    <row r="26" spans="2:8" s="49" customFormat="1" ht="5.25" customHeight="1">
      <c r="B26" s="373"/>
      <c r="D26" s="57"/>
      <c r="E26" s="57"/>
      <c r="F26" s="57"/>
    </row>
    <row r="27" spans="2:8" s="49" customFormat="1" ht="15" customHeight="1">
      <c r="B27" s="44" t="s">
        <v>667</v>
      </c>
      <c r="D27" s="57"/>
      <c r="E27" s="57"/>
      <c r="F27" s="57"/>
    </row>
    <row r="28" spans="2:8" s="43" customFormat="1" ht="15" customHeight="1" thickBot="1">
      <c r="B28" s="61"/>
      <c r="C28" s="130"/>
      <c r="D28" s="169" t="str">
        <f>IF(ISNUMBER(B28),INDEX(Malze!$C$8:$C$25,Malze!H8)*($B$28%),"0")</f>
        <v>0</v>
      </c>
      <c r="E28" s="152">
        <f>IF(ISNUMBER(B28),INDEX(Malze!$E$8:$E$25,Malze!H8),0)</f>
        <v>0</v>
      </c>
      <c r="F28" s="175" t="str">
        <f>IF(ISNUMBER(B28),Berechnungen!$C$35*B28/100,"")</f>
        <v/>
      </c>
      <c r="G28" s="153"/>
    </row>
    <row r="29" spans="2:8" s="43" customFormat="1" ht="15" customHeight="1" thickBot="1">
      <c r="B29" s="62"/>
      <c r="C29" s="131"/>
      <c r="D29" s="170" t="str">
        <f>IF(ISNUMBER(B29),INDEX(Malze!$C$8:$C$25,Malze!H9)*($B$29%),"0")</f>
        <v>0</v>
      </c>
      <c r="E29" s="155">
        <f>IF(ISNUMBER(B29),INDEX(Malze!$E$8:$E$25,Malze!H9),0)</f>
        <v>0</v>
      </c>
      <c r="F29" s="176" t="str">
        <f>IF(ISNUMBER(B29),Berechnungen!$C$35*B29/100,"")</f>
        <v/>
      </c>
      <c r="G29" s="156"/>
    </row>
    <row r="30" spans="2:8" s="43" customFormat="1" ht="15" customHeight="1" thickBot="1">
      <c r="B30" s="62"/>
      <c r="C30" s="131"/>
      <c r="D30" s="170" t="str">
        <f>IF(ISNUMBER(B30),INDEX(Malze!$C$8:$C$25,Malze!H10)*($B$30%),"0")</f>
        <v>0</v>
      </c>
      <c r="E30" s="155">
        <f>IF(ISNUMBER(B30),INDEX(Malze!$E$8:$E$25,Malze!H10),0)</f>
        <v>0</v>
      </c>
      <c r="F30" s="176" t="str">
        <f>IF(ISNUMBER(B30),Berechnungen!$C$35*B30/100,"")</f>
        <v/>
      </c>
      <c r="G30" s="156"/>
    </row>
    <row r="31" spans="2:8" s="43" customFormat="1" ht="15" customHeight="1" thickBot="1">
      <c r="B31" s="62"/>
      <c r="C31" s="131"/>
      <c r="D31" s="170" t="str">
        <f>IF(ISNUMBER(B31),INDEX(Malze!$C$8:$C$25,Malze!H11)*($B$31%),"0")</f>
        <v>0</v>
      </c>
      <c r="E31" s="155">
        <f>IF(ISNUMBER(B31),INDEX(Malze!$E$8:$E$25,Malze!H11),0)</f>
        <v>0</v>
      </c>
      <c r="F31" s="176" t="str">
        <f>IF(ISNUMBER(B31),Berechnungen!$C$35*B31/100,"")</f>
        <v/>
      </c>
      <c r="G31" s="156"/>
    </row>
    <row r="32" spans="2:8" s="43" customFormat="1" ht="15" customHeight="1" thickBot="1">
      <c r="B32" s="62"/>
      <c r="C32" s="131"/>
      <c r="D32" s="170" t="str">
        <f>IF(ISNUMBER(B32),INDEX(Malze!$C$8:$C$25,Malze!H12)*($B$32%),"0")</f>
        <v>0</v>
      </c>
      <c r="E32" s="155">
        <f>IF(ISNUMBER(B32),INDEX(Malze!$E$8:$E$25,Malze!H12),0)</f>
        <v>0</v>
      </c>
      <c r="F32" s="176" t="str">
        <f>IF(ISNUMBER(B32),Berechnungen!$C$35*B32/100,"")</f>
        <v/>
      </c>
      <c r="G32" s="156"/>
      <c r="H32" s="58"/>
    </row>
    <row r="33" spans="2:8" s="53" customFormat="1" ht="6" customHeight="1">
      <c r="B33" s="51"/>
      <c r="C33" s="52"/>
      <c r="D33" s="59"/>
      <c r="F33" s="190"/>
    </row>
    <row r="34" spans="2:8" s="53" customFormat="1" ht="15" customHeight="1">
      <c r="B34" s="54" t="s">
        <v>705</v>
      </c>
      <c r="C34" s="52"/>
      <c r="D34" s="59"/>
      <c r="F34" s="190"/>
    </row>
    <row r="35" spans="2:8" s="53" customFormat="1" ht="15" customHeight="1" thickBot="1">
      <c r="B35" s="50"/>
      <c r="C35" s="130"/>
      <c r="D35" s="151" t="str">
        <f>IF(ISNUMBER(B35),INDEX(Malze!$C$27:$C$40,Malze!H27)*($B$35%),"0")</f>
        <v>0</v>
      </c>
      <c r="E35" s="152">
        <f>IF(ISNUMBER(B35),INDEX(Malze!$E$27:$E$40,Malze!H27),0)</f>
        <v>0</v>
      </c>
      <c r="F35" s="175" t="str">
        <f>IF(ISNUMBER(B35),Berechnungen!$C$35*B35/100,"")</f>
        <v/>
      </c>
      <c r="G35" s="153"/>
    </row>
    <row r="36" spans="2:8" s="53" customFormat="1" ht="15" customHeight="1" thickBot="1">
      <c r="B36" s="50"/>
      <c r="C36" s="131"/>
      <c r="D36" s="154" t="str">
        <f>IF(ISNUMBER(B36),INDEX(Malze!$C$27:$C$40,Malze!H28)*($B$36%),"0")</f>
        <v>0</v>
      </c>
      <c r="E36" s="155">
        <f>IF(ISNUMBER(B36),INDEX(Malze!$E$27:$E$40,Malze!H28),0)</f>
        <v>0</v>
      </c>
      <c r="F36" s="176" t="str">
        <f>IF(ISNUMBER(B36),Berechnungen!$C$35*B36/100,"")</f>
        <v/>
      </c>
      <c r="G36" s="156"/>
    </row>
    <row r="37" spans="2:8" s="53" customFormat="1" ht="6" customHeight="1">
      <c r="B37" s="51"/>
      <c r="C37" s="52"/>
      <c r="D37" s="59"/>
      <c r="F37" s="190"/>
    </row>
    <row r="38" spans="2:8" s="43" customFormat="1" ht="15" customHeight="1">
      <c r="B38" s="44" t="s">
        <v>687</v>
      </c>
      <c r="D38" s="60"/>
      <c r="F38" s="113"/>
    </row>
    <row r="39" spans="2:8" s="43" customFormat="1" ht="15" customHeight="1" thickBot="1">
      <c r="B39" s="50"/>
      <c r="C39" s="130"/>
      <c r="D39" s="151" t="str">
        <f>IF(ISNUMBER(B39),INDEX(Malze!$C$42:$C$56,Malze!H42)*($B$39%),"0")</f>
        <v>0</v>
      </c>
      <c r="E39" s="152">
        <f>IF(ISNUMBER(B39),INDEX(Malze!$E$42:$E$56,Malze!H42),0)</f>
        <v>0</v>
      </c>
      <c r="F39" s="175" t="str">
        <f>IF(ISNUMBER(B39),Berechnungen!$C$35*B39/100,"")</f>
        <v/>
      </c>
      <c r="G39" s="153"/>
    </row>
    <row r="40" spans="2:8" s="43" customFormat="1" ht="15" customHeight="1" thickBot="1">
      <c r="B40" s="50"/>
      <c r="C40" s="131"/>
      <c r="D40" s="154" t="str">
        <f>IF(ISNUMBER(B40),INDEX(Malze!$C$42:$C$56,Malze!H43)*($B$40%),"0")</f>
        <v>0</v>
      </c>
      <c r="E40" s="155">
        <f>IF(ISNUMBER(B40),INDEX(Malze!$E$42:$E$56,Malze!H43),0)</f>
        <v>0</v>
      </c>
      <c r="F40" s="176" t="str">
        <f>IF(ISNUMBER(B40),Berechnungen!$C$35*B40/100,"")</f>
        <v/>
      </c>
      <c r="G40" s="156"/>
    </row>
    <row r="41" spans="2:8" s="43" customFormat="1" ht="6" customHeight="1">
      <c r="D41" s="60"/>
      <c r="F41" s="113"/>
    </row>
    <row r="42" spans="2:8" s="43" customFormat="1" ht="15" customHeight="1">
      <c r="B42" s="44" t="s">
        <v>668</v>
      </c>
      <c r="D42" s="60"/>
      <c r="F42" s="113"/>
    </row>
    <row r="43" spans="2:8" s="43" customFormat="1" ht="15" customHeight="1" thickBot="1">
      <c r="B43" s="50"/>
      <c r="C43" s="130"/>
      <c r="D43" s="151" t="str">
        <f>IF(ISNUMBER(B43),INDEX(Malze!$C$59:$C$69,Malze!H59)*($B$43%),"0")</f>
        <v>0</v>
      </c>
      <c r="E43" s="152">
        <f>IF(ISNUMBER(B43),INDEX(Malze!$E$59:$E$69,Malze!H59),0)</f>
        <v>0</v>
      </c>
      <c r="F43" s="175" t="str">
        <f>IF(ISNUMBER(B43),Berechnungen!$C$35*B43/100,"")</f>
        <v/>
      </c>
      <c r="G43" s="379"/>
    </row>
    <row r="44" spans="2:8" s="43" customFormat="1" ht="15" customHeight="1" thickBot="1">
      <c r="B44" s="50"/>
      <c r="C44" s="131"/>
      <c r="D44" s="154" t="str">
        <f>IF(ISNUMBER(B44),INDEX(Malze!$C$59:$C$69,Malze!H60)*($B$44%),"0")</f>
        <v>0</v>
      </c>
      <c r="E44" s="155">
        <f>IF(ISNUMBER(B44),INDEX(Malze!$E$59:$E$69,Malze!H60),0)</f>
        <v>0</v>
      </c>
      <c r="F44" s="176" t="str">
        <f>IF(ISNUMBER(B44),Berechnungen!$C$35*B44/100,"")</f>
        <v/>
      </c>
      <c r="G44" s="159"/>
    </row>
    <row r="45" spans="2:8" ht="6" customHeight="1">
      <c r="D45" s="43"/>
      <c r="E45" s="43"/>
      <c r="F45" s="58"/>
    </row>
    <row r="46" spans="2:8" s="43" customFormat="1" ht="15" customHeight="1">
      <c r="B46" s="77">
        <f>SUM(B28:B45)</f>
        <v>0</v>
      </c>
      <c r="C46" s="63" t="str">
        <f>IF(B46=100,"","Achtung Menge!")</f>
        <v>Achtung Menge!</v>
      </c>
      <c r="D46" s="60">
        <f>SUM(D28:D45)</f>
        <v>0</v>
      </c>
      <c r="F46" s="445"/>
    </row>
    <row r="47" spans="2:8" s="43" customFormat="1" ht="6" customHeight="1">
      <c r="B47" s="77"/>
      <c r="C47" s="63"/>
      <c r="D47" s="65"/>
    </row>
    <row r="48" spans="2:8" s="43" customFormat="1" ht="24" customHeight="1">
      <c r="B48" s="46" t="s">
        <v>75</v>
      </c>
      <c r="C48" s="47" t="s">
        <v>806</v>
      </c>
      <c r="D48" s="48"/>
      <c r="E48" s="48" t="s">
        <v>21</v>
      </c>
      <c r="F48" s="48" t="s">
        <v>75</v>
      </c>
      <c r="G48" s="47" t="s">
        <v>684</v>
      </c>
      <c r="H48" s="187"/>
    </row>
    <row r="49" spans="2:8" ht="15" customHeight="1">
      <c r="B49" s="44" t="s">
        <v>686</v>
      </c>
      <c r="D49" s="43"/>
      <c r="E49" s="43"/>
      <c r="F49" s="58"/>
    </row>
    <row r="50" spans="2:8" s="43" customFormat="1" ht="15" customHeight="1" thickBot="1">
      <c r="B50" s="177"/>
      <c r="C50" s="130"/>
      <c r="D50" s="171"/>
      <c r="E50" s="152">
        <f>IF(ISNUMBER(B50),INDEX(Brauzusätze!B7:B13,Brauzusätze!$I$6),0)</f>
        <v>0</v>
      </c>
      <c r="F50" s="175"/>
      <c r="G50" s="130"/>
    </row>
    <row r="51" spans="2:8" s="43" customFormat="1" ht="6.75" customHeight="1">
      <c r="B51" s="77"/>
      <c r="C51" s="63"/>
      <c r="D51" s="65"/>
    </row>
    <row r="52" spans="2:8" s="43" customFormat="1" ht="14.25" customHeight="1">
      <c r="B52" s="148" t="s">
        <v>855</v>
      </c>
      <c r="C52" s="152" t="s">
        <v>856</v>
      </c>
      <c r="D52" s="193">
        <f>E10</f>
        <v>0</v>
      </c>
      <c r="E52" s="192">
        <f>IFERROR(Berechnungen!C40,"")</f>
        <v>3</v>
      </c>
      <c r="F52" s="191" t="str">
        <f>IFERROR(Berechnungen!C35,"")</f>
        <v/>
      </c>
      <c r="G52" s="130"/>
    </row>
    <row r="53" spans="2:8" s="43" customFormat="1" ht="6" customHeight="1">
      <c r="B53" s="78"/>
      <c r="C53" s="78"/>
      <c r="D53" s="79"/>
      <c r="E53" s="80"/>
      <c r="F53" s="81"/>
    </row>
    <row r="54" spans="2:8" ht="15.75">
      <c r="B54" s="71" t="s">
        <v>190</v>
      </c>
    </row>
    <row r="55" spans="2:8" ht="22.7" customHeight="1">
      <c r="B55" s="46" t="s">
        <v>817</v>
      </c>
      <c r="C55" s="47" t="s">
        <v>711</v>
      </c>
      <c r="D55" s="46" t="s">
        <v>566</v>
      </c>
      <c r="E55" s="46" t="s">
        <v>21</v>
      </c>
      <c r="F55" s="46" t="s">
        <v>75</v>
      </c>
      <c r="G55" s="47" t="s">
        <v>684</v>
      </c>
      <c r="H55" s="508"/>
    </row>
    <row r="56" spans="2:8" ht="15" customHeight="1" thickBot="1">
      <c r="B56" s="121">
        <v>0</v>
      </c>
      <c r="C56" s="130"/>
      <c r="D56" s="688">
        <f>IF(ISNUMBER(B56),INDEX(Brauzusätze!C15:C16,Brauzusätze!I14))</f>
        <v>0</v>
      </c>
      <c r="E56" s="157"/>
      <c r="F56" s="173">
        <f>IF(ISNUMBER(B56),E17/100*D56,"")</f>
        <v>0</v>
      </c>
      <c r="G56" s="150">
        <f>IF(ISNUMBER(B56),INDEX(Brauzusätze!E15:E16,Brauzusätze!I14))</f>
        <v>0</v>
      </c>
    </row>
    <row r="57" spans="2:8" ht="15" customHeight="1" thickBot="1">
      <c r="B57" s="50">
        <v>0</v>
      </c>
      <c r="C57" s="131"/>
      <c r="D57" s="172"/>
      <c r="E57" s="158"/>
      <c r="F57" s="174"/>
      <c r="G57" s="159"/>
    </row>
    <row r="58" spans="2:8" ht="15" customHeight="1" thickBot="1">
      <c r="B58" s="50">
        <v>0</v>
      </c>
      <c r="C58" s="131"/>
      <c r="D58" s="172"/>
      <c r="E58" s="158"/>
      <c r="F58" s="174"/>
      <c r="G58" s="159"/>
    </row>
    <row r="59" spans="2:8" ht="15" customHeight="1" thickBot="1">
      <c r="B59" s="50">
        <v>0</v>
      </c>
      <c r="C59" s="131"/>
      <c r="D59" s="172"/>
      <c r="E59" s="158"/>
      <c r="F59" s="174"/>
      <c r="G59" s="159"/>
    </row>
    <row r="60" spans="2:8" s="43" customFormat="1" ht="6" customHeight="1">
      <c r="B60" s="64"/>
      <c r="C60" s="63"/>
      <c r="D60" s="65"/>
    </row>
    <row r="61" spans="2:8" ht="17.25">
      <c r="B61" s="56" t="s">
        <v>2044</v>
      </c>
    </row>
    <row r="62" spans="2:8" ht="6" customHeight="1"/>
    <row r="63" spans="2:8" s="43" customFormat="1" ht="22.5">
      <c r="B63" s="46" t="s">
        <v>726</v>
      </c>
      <c r="C63" s="47" t="s">
        <v>723</v>
      </c>
      <c r="D63" s="48" t="s">
        <v>724</v>
      </c>
      <c r="E63" s="48" t="s">
        <v>725</v>
      </c>
      <c r="F63" s="48"/>
      <c r="G63" s="47" t="s">
        <v>684</v>
      </c>
      <c r="H63" s="187"/>
    </row>
    <row r="64" spans="2:8" s="43" customFormat="1" ht="6.75" customHeight="1">
      <c r="B64" s="373"/>
      <c r="C64" s="49"/>
      <c r="D64" s="57"/>
      <c r="E64" s="57"/>
      <c r="F64" s="57"/>
      <c r="G64" s="49"/>
    </row>
    <row r="65" spans="2:7" s="43" customFormat="1" ht="15" customHeight="1">
      <c r="B65" s="44" t="s">
        <v>727</v>
      </c>
    </row>
    <row r="66" spans="2:7" s="43" customFormat="1" ht="15" customHeight="1" thickBot="1">
      <c r="B66" s="67"/>
      <c r="C66" s="130"/>
      <c r="D66" s="461"/>
      <c r="E66" s="162" t="str">
        <f>IFERROR(((B66*Berechnungen!B46*Berechnungen!C46)/'Bier-Berechnung'!$E$20*10)/100,"")</f>
        <v/>
      </c>
      <c r="F66" s="130"/>
      <c r="G66" s="153"/>
    </row>
    <row r="67" spans="2:7" s="43" customFormat="1" ht="15" customHeight="1" thickBot="1">
      <c r="B67" s="67"/>
      <c r="C67" s="131"/>
      <c r="D67" s="464"/>
      <c r="E67" s="163" t="str">
        <f>IFERROR(((B67*Berechnungen!B47*Berechnungen!C47)/'Bier-Berechnung'!$E$20*10)/100,"")</f>
        <v/>
      </c>
      <c r="F67" s="131"/>
      <c r="G67" s="156"/>
    </row>
    <row r="68" spans="2:7" s="43" customFormat="1" ht="15" customHeight="1" thickBot="1">
      <c r="B68" s="68"/>
      <c r="C68" s="131"/>
      <c r="D68" s="461"/>
      <c r="E68" s="163" t="str">
        <f>IFERROR(((B68*Berechnungen!B48*Berechnungen!C48)/'Bier-Berechnung'!$E$20*10)/100,"")</f>
        <v/>
      </c>
      <c r="F68" s="131"/>
      <c r="G68" s="156"/>
    </row>
    <row r="69" spans="2:7" s="43" customFormat="1" ht="6" customHeight="1">
      <c r="B69" s="375"/>
      <c r="C69" s="83"/>
      <c r="D69" s="378"/>
      <c r="E69" s="161"/>
      <c r="F69" s="83"/>
      <c r="G69" s="374"/>
    </row>
    <row r="70" spans="2:7" s="43" customFormat="1" ht="15" customHeight="1">
      <c r="B70" s="376" t="s">
        <v>728</v>
      </c>
      <c r="C70" s="83"/>
      <c r="D70" s="160"/>
      <c r="E70" s="161"/>
      <c r="F70" s="83"/>
    </row>
    <row r="71" spans="2:7" s="43" customFormat="1" ht="15" customHeight="1" thickBot="1">
      <c r="B71" s="67"/>
      <c r="C71" s="130"/>
      <c r="D71" s="461"/>
      <c r="E71" s="162" t="str">
        <f>IFERROR(((B71*Berechnungen!B49*Berechnungen!C49)/'Bier-Berechnung'!$E$20*10)/100,"")</f>
        <v/>
      </c>
      <c r="F71" s="130"/>
      <c r="G71" s="153"/>
    </row>
    <row r="72" spans="2:7" s="43" customFormat="1" ht="15" customHeight="1" thickBot="1">
      <c r="B72" s="68"/>
      <c r="C72" s="131"/>
      <c r="D72" s="464"/>
      <c r="E72" s="163" t="str">
        <f>IFERROR(((B72*Berechnungen!B50*Berechnungen!C50)/'Bier-Berechnung'!$E$20*10)/100,"")</f>
        <v/>
      </c>
      <c r="F72" s="131"/>
      <c r="G72" s="156"/>
    </row>
    <row r="73" spans="2:7" s="43" customFormat="1" ht="15" customHeight="1" thickBot="1">
      <c r="B73" s="463" t="s">
        <v>1651</v>
      </c>
      <c r="C73" s="83"/>
      <c r="D73" s="464">
        <v>20</v>
      </c>
      <c r="E73" s="161">
        <f>IFERROR(((B71*Berechnungen!B51*Berechnungen!C51)/'Bier-Berechnung'!$E$20*10)/100,"")</f>
        <v>0</v>
      </c>
      <c r="F73" s="83"/>
      <c r="G73" s="374" t="s">
        <v>1652</v>
      </c>
    </row>
    <row r="74" spans="2:7" s="43" customFormat="1" ht="15" customHeight="1">
      <c r="B74" s="462"/>
      <c r="C74" s="83"/>
      <c r="D74" s="160"/>
      <c r="E74" s="161"/>
      <c r="F74" s="83"/>
      <c r="G74" s="374"/>
    </row>
    <row r="75" spans="2:7" s="43" customFormat="1" ht="6" customHeight="1">
      <c r="B75" s="462"/>
      <c r="C75" s="83"/>
      <c r="D75" s="160"/>
      <c r="E75" s="161"/>
      <c r="F75" s="83"/>
      <c r="G75" s="374"/>
    </row>
    <row r="76" spans="2:7" s="43" customFormat="1" ht="15" customHeight="1">
      <c r="B76" s="377" t="s">
        <v>721</v>
      </c>
      <c r="C76" s="83"/>
      <c r="D76" s="83"/>
      <c r="E76" s="161"/>
      <c r="F76" s="83"/>
    </row>
    <row r="77" spans="2:7" ht="15" customHeight="1" thickBot="1">
      <c r="B77" s="67"/>
      <c r="C77" s="130"/>
      <c r="D77" s="164"/>
      <c r="E77" s="162" t="str">
        <f>IFERROR(((B77*Berechnungen!B52*Berechnungen!C52)/'Bier-Berechnung'!$E$20*10)/100,"")</f>
        <v/>
      </c>
      <c r="F77" s="130"/>
      <c r="G77" s="153"/>
    </row>
    <row r="78" spans="2:7" s="43" customFormat="1" ht="15" customHeight="1">
      <c r="C78" s="43" t="s">
        <v>738</v>
      </c>
      <c r="E78" s="70">
        <f>SUM(E66:E77)</f>
        <v>0</v>
      </c>
    </row>
    <row r="79" spans="2:7" s="43" customFormat="1" ht="15" customHeight="1">
      <c r="C79" s="43" t="s">
        <v>739</v>
      </c>
      <c r="E79" s="70" t="str">
        <f>IFERROR(E78/E9,"")</f>
        <v/>
      </c>
      <c r="F79" s="43" t="str">
        <f>IF($E$79&gt;3.01,"sehr herb",IF($E$79&gt;2.5,"moderat herb",IF($E$79&gt;1.5,"ausgewogen",IF($E$79&lt;=1.5,"mild"))))</f>
        <v>sehr herb</v>
      </c>
    </row>
    <row r="80" spans="2:7" ht="6" customHeight="1"/>
    <row r="81" spans="2:8" ht="15" customHeight="1">
      <c r="B81" s="71" t="s">
        <v>603</v>
      </c>
    </row>
    <row r="82" spans="2:8" ht="6" customHeight="1">
      <c r="B82" s="71"/>
    </row>
    <row r="83" spans="2:8" ht="22.5">
      <c r="B83" s="46" t="s">
        <v>749</v>
      </c>
      <c r="C83" s="47" t="s">
        <v>1983</v>
      </c>
      <c r="D83" s="46" t="s">
        <v>750</v>
      </c>
      <c r="E83" s="46" t="s">
        <v>751</v>
      </c>
      <c r="F83" s="48"/>
      <c r="G83" s="47" t="s">
        <v>684</v>
      </c>
      <c r="H83" s="508"/>
    </row>
    <row r="84" spans="2:8" ht="15" customHeight="1" thickBot="1">
      <c r="B84" s="82">
        <f>IF(ISNUMBER($E$17),E84/INDEX(Hefe!C6:C53,Hefe!O6),AUFRUNDEN)</f>
        <v>1.2999999999999999E-2</v>
      </c>
      <c r="C84" s="165"/>
      <c r="D84" s="166">
        <f>IF(ISNUMBER($E$17),INDEX(Hefe!I7:I53,Hefe!O6),"")</f>
        <v>65</v>
      </c>
      <c r="E84" s="166">
        <f>IFERROR(D84/100*E17,"")</f>
        <v>13</v>
      </c>
      <c r="F84" s="165"/>
      <c r="G84" s="153"/>
    </row>
  </sheetData>
  <pageMargins left="0.98425196850393704" right="0.31496062992125984" top="0.39370078740157483" bottom="0.39370078740157483" header="0.31496062992125984" footer="0.31496062992125984"/>
  <pageSetup paperSize="9" orientation="portrait" r:id="rId1"/>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4" r:id="rId4" name="Drop Down 10">
              <controlPr defaultSize="0" autoLine="0" autoPict="0">
                <anchor moveWithCells="1">
                  <from>
                    <xdr:col>6</xdr:col>
                    <xdr:colOff>38100</xdr:colOff>
                    <xdr:row>5</xdr:row>
                    <xdr:rowOff>57150</xdr:rowOff>
                  </from>
                  <to>
                    <xdr:col>7</xdr:col>
                    <xdr:colOff>9525</xdr:colOff>
                    <xdr:row>7</xdr:row>
                    <xdr:rowOff>0</xdr:rowOff>
                  </to>
                </anchor>
              </controlPr>
            </control>
          </mc:Choice>
        </mc:AlternateContent>
        <mc:AlternateContent xmlns:mc="http://schemas.openxmlformats.org/markup-compatibility/2006">
          <mc:Choice Requires="x14">
            <control shapeId="21516" r:id="rId5" name="Drop Down 12">
              <controlPr defaultSize="0" autoLine="0" autoPict="0">
                <anchor moveWithCells="1">
                  <from>
                    <xdr:col>2</xdr:col>
                    <xdr:colOff>0</xdr:colOff>
                    <xdr:row>27</xdr:row>
                    <xdr:rowOff>9525</xdr:rowOff>
                  </from>
                  <to>
                    <xdr:col>2</xdr:col>
                    <xdr:colOff>1295400</xdr:colOff>
                    <xdr:row>28</xdr:row>
                    <xdr:rowOff>0</xdr:rowOff>
                  </to>
                </anchor>
              </controlPr>
            </control>
          </mc:Choice>
        </mc:AlternateContent>
        <mc:AlternateContent xmlns:mc="http://schemas.openxmlformats.org/markup-compatibility/2006">
          <mc:Choice Requires="x14">
            <control shapeId="21520" r:id="rId6" name="Drop Down 16">
              <controlPr defaultSize="0" autoLine="0" autoPict="0">
                <anchor moveWithCells="1">
                  <from>
                    <xdr:col>2</xdr:col>
                    <xdr:colOff>0</xdr:colOff>
                    <xdr:row>28</xdr:row>
                    <xdr:rowOff>9525</xdr:rowOff>
                  </from>
                  <to>
                    <xdr:col>2</xdr:col>
                    <xdr:colOff>1295400</xdr:colOff>
                    <xdr:row>29</xdr:row>
                    <xdr:rowOff>0</xdr:rowOff>
                  </to>
                </anchor>
              </controlPr>
            </control>
          </mc:Choice>
        </mc:AlternateContent>
        <mc:AlternateContent xmlns:mc="http://schemas.openxmlformats.org/markup-compatibility/2006">
          <mc:Choice Requires="x14">
            <control shapeId="21521" r:id="rId7" name="Drop Down 17">
              <controlPr defaultSize="0" autoLine="0" autoPict="0">
                <anchor moveWithCells="1">
                  <from>
                    <xdr:col>2</xdr:col>
                    <xdr:colOff>0</xdr:colOff>
                    <xdr:row>29</xdr:row>
                    <xdr:rowOff>0</xdr:rowOff>
                  </from>
                  <to>
                    <xdr:col>2</xdr:col>
                    <xdr:colOff>1295400</xdr:colOff>
                    <xdr:row>30</xdr:row>
                    <xdr:rowOff>0</xdr:rowOff>
                  </to>
                </anchor>
              </controlPr>
            </control>
          </mc:Choice>
        </mc:AlternateContent>
        <mc:AlternateContent xmlns:mc="http://schemas.openxmlformats.org/markup-compatibility/2006">
          <mc:Choice Requires="x14">
            <control shapeId="21522" r:id="rId8" name="Drop Down 18">
              <controlPr defaultSize="0" autoLine="0" autoPict="0">
                <anchor moveWithCells="1">
                  <from>
                    <xdr:col>2</xdr:col>
                    <xdr:colOff>0</xdr:colOff>
                    <xdr:row>30</xdr:row>
                    <xdr:rowOff>9525</xdr:rowOff>
                  </from>
                  <to>
                    <xdr:col>2</xdr:col>
                    <xdr:colOff>1295400</xdr:colOff>
                    <xdr:row>31</xdr:row>
                    <xdr:rowOff>0</xdr:rowOff>
                  </to>
                </anchor>
              </controlPr>
            </control>
          </mc:Choice>
        </mc:AlternateContent>
        <mc:AlternateContent xmlns:mc="http://schemas.openxmlformats.org/markup-compatibility/2006">
          <mc:Choice Requires="x14">
            <control shapeId="21523" r:id="rId9" name="Drop Down 19">
              <controlPr defaultSize="0" autoLine="0" autoPict="0">
                <anchor moveWithCells="1">
                  <from>
                    <xdr:col>2</xdr:col>
                    <xdr:colOff>0</xdr:colOff>
                    <xdr:row>31</xdr:row>
                    <xdr:rowOff>0</xdr:rowOff>
                  </from>
                  <to>
                    <xdr:col>2</xdr:col>
                    <xdr:colOff>1295400</xdr:colOff>
                    <xdr:row>32</xdr:row>
                    <xdr:rowOff>0</xdr:rowOff>
                  </to>
                </anchor>
              </controlPr>
            </control>
          </mc:Choice>
        </mc:AlternateContent>
        <mc:AlternateContent xmlns:mc="http://schemas.openxmlformats.org/markup-compatibility/2006">
          <mc:Choice Requires="x14">
            <control shapeId="21524" r:id="rId10" name="Drop Down 20">
              <controlPr defaultSize="0" autoLine="0" autoPict="0">
                <anchor moveWithCells="1">
                  <from>
                    <xdr:col>2</xdr:col>
                    <xdr:colOff>0</xdr:colOff>
                    <xdr:row>42</xdr:row>
                    <xdr:rowOff>19050</xdr:rowOff>
                  </from>
                  <to>
                    <xdr:col>2</xdr:col>
                    <xdr:colOff>1314450</xdr:colOff>
                    <xdr:row>43</xdr:row>
                    <xdr:rowOff>9525</xdr:rowOff>
                  </to>
                </anchor>
              </controlPr>
            </control>
          </mc:Choice>
        </mc:AlternateContent>
        <mc:AlternateContent xmlns:mc="http://schemas.openxmlformats.org/markup-compatibility/2006">
          <mc:Choice Requires="x14">
            <control shapeId="21525" r:id="rId11" name="Drop Down 21">
              <controlPr defaultSize="0" autoLine="0" autoPict="0">
                <anchor moveWithCells="1">
                  <from>
                    <xdr:col>2</xdr:col>
                    <xdr:colOff>9525</xdr:colOff>
                    <xdr:row>49</xdr:row>
                    <xdr:rowOff>9525</xdr:rowOff>
                  </from>
                  <to>
                    <xdr:col>2</xdr:col>
                    <xdr:colOff>1323975</xdr:colOff>
                    <xdr:row>50</xdr:row>
                    <xdr:rowOff>0</xdr:rowOff>
                  </to>
                </anchor>
              </controlPr>
            </control>
          </mc:Choice>
        </mc:AlternateContent>
        <mc:AlternateContent xmlns:mc="http://schemas.openxmlformats.org/markup-compatibility/2006">
          <mc:Choice Requires="x14">
            <control shapeId="21526" r:id="rId12" name="Drop Down 22">
              <controlPr defaultSize="0" autoLine="0" autoPict="0">
                <anchor moveWithCells="1">
                  <from>
                    <xdr:col>2</xdr:col>
                    <xdr:colOff>0</xdr:colOff>
                    <xdr:row>43</xdr:row>
                    <xdr:rowOff>19050</xdr:rowOff>
                  </from>
                  <to>
                    <xdr:col>2</xdr:col>
                    <xdr:colOff>1314450</xdr:colOff>
                    <xdr:row>44</xdr:row>
                    <xdr:rowOff>9525</xdr:rowOff>
                  </to>
                </anchor>
              </controlPr>
            </control>
          </mc:Choice>
        </mc:AlternateContent>
        <mc:AlternateContent xmlns:mc="http://schemas.openxmlformats.org/markup-compatibility/2006">
          <mc:Choice Requires="x14">
            <control shapeId="21527" r:id="rId13" name="Drop Down 23">
              <controlPr defaultSize="0" autoLine="0" autoPict="0">
                <anchor moveWithCells="1">
                  <from>
                    <xdr:col>2</xdr:col>
                    <xdr:colOff>0</xdr:colOff>
                    <xdr:row>38</xdr:row>
                    <xdr:rowOff>9525</xdr:rowOff>
                  </from>
                  <to>
                    <xdr:col>2</xdr:col>
                    <xdr:colOff>1314450</xdr:colOff>
                    <xdr:row>39</xdr:row>
                    <xdr:rowOff>9525</xdr:rowOff>
                  </to>
                </anchor>
              </controlPr>
            </control>
          </mc:Choice>
        </mc:AlternateContent>
        <mc:AlternateContent xmlns:mc="http://schemas.openxmlformats.org/markup-compatibility/2006">
          <mc:Choice Requires="x14">
            <control shapeId="21528" r:id="rId14" name="Drop Down 24">
              <controlPr defaultSize="0" autoLine="0" autoPict="0">
                <anchor moveWithCells="1">
                  <from>
                    <xdr:col>2</xdr:col>
                    <xdr:colOff>0</xdr:colOff>
                    <xdr:row>39</xdr:row>
                    <xdr:rowOff>19050</xdr:rowOff>
                  </from>
                  <to>
                    <xdr:col>2</xdr:col>
                    <xdr:colOff>1314450</xdr:colOff>
                    <xdr:row>40</xdr:row>
                    <xdr:rowOff>9525</xdr:rowOff>
                  </to>
                </anchor>
              </controlPr>
            </control>
          </mc:Choice>
        </mc:AlternateContent>
        <mc:AlternateContent xmlns:mc="http://schemas.openxmlformats.org/markup-compatibility/2006">
          <mc:Choice Requires="x14">
            <control shapeId="21529" r:id="rId15" name="Drop Down 25">
              <controlPr defaultSize="0" autoLine="0" autoPict="0">
                <anchor moveWithCells="1">
                  <from>
                    <xdr:col>2</xdr:col>
                    <xdr:colOff>0</xdr:colOff>
                    <xdr:row>34</xdr:row>
                    <xdr:rowOff>19050</xdr:rowOff>
                  </from>
                  <to>
                    <xdr:col>2</xdr:col>
                    <xdr:colOff>1314450</xdr:colOff>
                    <xdr:row>35</xdr:row>
                    <xdr:rowOff>9525</xdr:rowOff>
                  </to>
                </anchor>
              </controlPr>
            </control>
          </mc:Choice>
        </mc:AlternateContent>
        <mc:AlternateContent xmlns:mc="http://schemas.openxmlformats.org/markup-compatibility/2006">
          <mc:Choice Requires="x14">
            <control shapeId="21531" r:id="rId16" name="Drop Down 27">
              <controlPr defaultSize="0" autoLine="0" autoPict="0">
                <anchor moveWithCells="1">
                  <from>
                    <xdr:col>2</xdr:col>
                    <xdr:colOff>0</xdr:colOff>
                    <xdr:row>35</xdr:row>
                    <xdr:rowOff>19050</xdr:rowOff>
                  </from>
                  <to>
                    <xdr:col>2</xdr:col>
                    <xdr:colOff>1314450</xdr:colOff>
                    <xdr:row>36</xdr:row>
                    <xdr:rowOff>9525</xdr:rowOff>
                  </to>
                </anchor>
              </controlPr>
            </control>
          </mc:Choice>
        </mc:AlternateContent>
        <mc:AlternateContent xmlns:mc="http://schemas.openxmlformats.org/markup-compatibility/2006">
          <mc:Choice Requires="x14">
            <control shapeId="21534" r:id="rId17" name="Drop Down 30">
              <controlPr defaultSize="0" autoLine="0" autoPict="0">
                <anchor moveWithCells="1">
                  <from>
                    <xdr:col>2</xdr:col>
                    <xdr:colOff>0</xdr:colOff>
                    <xdr:row>64</xdr:row>
                    <xdr:rowOff>190500</xdr:rowOff>
                  </from>
                  <to>
                    <xdr:col>2</xdr:col>
                    <xdr:colOff>1314450</xdr:colOff>
                    <xdr:row>65</xdr:row>
                    <xdr:rowOff>190500</xdr:rowOff>
                  </to>
                </anchor>
              </controlPr>
            </control>
          </mc:Choice>
        </mc:AlternateContent>
        <mc:AlternateContent xmlns:mc="http://schemas.openxmlformats.org/markup-compatibility/2006">
          <mc:Choice Requires="x14">
            <control shapeId="21535" r:id="rId18" name="Drop Down 31">
              <controlPr defaultSize="0" autoLine="0" autoPict="0">
                <anchor moveWithCells="1">
                  <from>
                    <xdr:col>2</xdr:col>
                    <xdr:colOff>0</xdr:colOff>
                    <xdr:row>67</xdr:row>
                    <xdr:rowOff>9525</xdr:rowOff>
                  </from>
                  <to>
                    <xdr:col>2</xdr:col>
                    <xdr:colOff>1314450</xdr:colOff>
                    <xdr:row>67</xdr:row>
                    <xdr:rowOff>190500</xdr:rowOff>
                  </to>
                </anchor>
              </controlPr>
            </control>
          </mc:Choice>
        </mc:AlternateContent>
        <mc:AlternateContent xmlns:mc="http://schemas.openxmlformats.org/markup-compatibility/2006">
          <mc:Choice Requires="x14">
            <control shapeId="21536" r:id="rId19" name="Drop Down 32">
              <controlPr defaultSize="0" autoLine="0" autoPict="0">
                <anchor moveWithCells="1">
                  <from>
                    <xdr:col>2</xdr:col>
                    <xdr:colOff>9525</xdr:colOff>
                    <xdr:row>70</xdr:row>
                    <xdr:rowOff>9525</xdr:rowOff>
                  </from>
                  <to>
                    <xdr:col>2</xdr:col>
                    <xdr:colOff>1323975</xdr:colOff>
                    <xdr:row>71</xdr:row>
                    <xdr:rowOff>0</xdr:rowOff>
                  </to>
                </anchor>
              </controlPr>
            </control>
          </mc:Choice>
        </mc:AlternateContent>
        <mc:AlternateContent xmlns:mc="http://schemas.openxmlformats.org/markup-compatibility/2006">
          <mc:Choice Requires="x14">
            <control shapeId="21537" r:id="rId20" name="Drop Down 33">
              <controlPr defaultSize="0" autoLine="0" autoPict="0">
                <anchor moveWithCells="1">
                  <from>
                    <xdr:col>2</xdr:col>
                    <xdr:colOff>9525</xdr:colOff>
                    <xdr:row>71</xdr:row>
                    <xdr:rowOff>19050</xdr:rowOff>
                  </from>
                  <to>
                    <xdr:col>2</xdr:col>
                    <xdr:colOff>1323975</xdr:colOff>
                    <xdr:row>72</xdr:row>
                    <xdr:rowOff>9525</xdr:rowOff>
                  </to>
                </anchor>
              </controlPr>
            </control>
          </mc:Choice>
        </mc:AlternateContent>
        <mc:AlternateContent xmlns:mc="http://schemas.openxmlformats.org/markup-compatibility/2006">
          <mc:Choice Requires="x14">
            <control shapeId="21538" r:id="rId21" name="Drop Down 34">
              <controlPr defaultSize="0" autoLine="0" autoPict="0">
                <anchor moveWithCells="1">
                  <from>
                    <xdr:col>2</xdr:col>
                    <xdr:colOff>0</xdr:colOff>
                    <xdr:row>66</xdr:row>
                    <xdr:rowOff>9525</xdr:rowOff>
                  </from>
                  <to>
                    <xdr:col>2</xdr:col>
                    <xdr:colOff>1314450</xdr:colOff>
                    <xdr:row>66</xdr:row>
                    <xdr:rowOff>190500</xdr:rowOff>
                  </to>
                </anchor>
              </controlPr>
            </control>
          </mc:Choice>
        </mc:AlternateContent>
        <mc:AlternateContent xmlns:mc="http://schemas.openxmlformats.org/markup-compatibility/2006">
          <mc:Choice Requires="x14">
            <control shapeId="21540" r:id="rId22" name="Drop Down 36">
              <controlPr defaultSize="0" autoLine="0" autoPict="0">
                <anchor moveWithCells="1">
                  <from>
                    <xdr:col>2</xdr:col>
                    <xdr:colOff>9525</xdr:colOff>
                    <xdr:row>76</xdr:row>
                    <xdr:rowOff>9525</xdr:rowOff>
                  </from>
                  <to>
                    <xdr:col>2</xdr:col>
                    <xdr:colOff>1323975</xdr:colOff>
                    <xdr:row>77</xdr:row>
                    <xdr:rowOff>0</xdr:rowOff>
                  </to>
                </anchor>
              </controlPr>
            </control>
          </mc:Choice>
        </mc:AlternateContent>
        <mc:AlternateContent xmlns:mc="http://schemas.openxmlformats.org/markup-compatibility/2006">
          <mc:Choice Requires="x14">
            <control shapeId="21541" r:id="rId23" name="Drop Down 37">
              <controlPr defaultSize="0" autoLine="0" autoPict="0">
                <anchor moveWithCells="1">
                  <from>
                    <xdr:col>1</xdr:col>
                    <xdr:colOff>552450</xdr:colOff>
                    <xdr:row>83</xdr:row>
                    <xdr:rowOff>0</xdr:rowOff>
                  </from>
                  <to>
                    <xdr:col>2</xdr:col>
                    <xdr:colOff>1304925</xdr:colOff>
                    <xdr:row>84</xdr:row>
                    <xdr:rowOff>0</xdr:rowOff>
                  </to>
                </anchor>
              </controlPr>
            </control>
          </mc:Choice>
        </mc:AlternateContent>
        <mc:AlternateContent xmlns:mc="http://schemas.openxmlformats.org/markup-compatibility/2006">
          <mc:Choice Requires="x14">
            <control shapeId="21542" r:id="rId24" name="Drop Down 38">
              <controlPr defaultSize="0" autoLine="0" autoPict="0">
                <anchor moveWithCells="1">
                  <from>
                    <xdr:col>2</xdr:col>
                    <xdr:colOff>0</xdr:colOff>
                    <xdr:row>55</xdr:row>
                    <xdr:rowOff>9525</xdr:rowOff>
                  </from>
                  <to>
                    <xdr:col>2</xdr:col>
                    <xdr:colOff>1314450</xdr:colOff>
                    <xdr:row>56</xdr:row>
                    <xdr:rowOff>0</xdr:rowOff>
                  </to>
                </anchor>
              </controlPr>
            </control>
          </mc:Choice>
        </mc:AlternateContent>
        <mc:AlternateContent xmlns:mc="http://schemas.openxmlformats.org/markup-compatibility/2006">
          <mc:Choice Requires="x14">
            <control shapeId="21543" r:id="rId25" name="Drop Down 39">
              <controlPr defaultSize="0" autoLine="0" autoPict="0">
                <anchor moveWithCells="1">
                  <from>
                    <xdr:col>2</xdr:col>
                    <xdr:colOff>0</xdr:colOff>
                    <xdr:row>56</xdr:row>
                    <xdr:rowOff>9525</xdr:rowOff>
                  </from>
                  <to>
                    <xdr:col>2</xdr:col>
                    <xdr:colOff>1314450</xdr:colOff>
                    <xdr:row>57</xdr:row>
                    <xdr:rowOff>0</xdr:rowOff>
                  </to>
                </anchor>
              </controlPr>
            </control>
          </mc:Choice>
        </mc:AlternateContent>
        <mc:AlternateContent xmlns:mc="http://schemas.openxmlformats.org/markup-compatibility/2006">
          <mc:Choice Requires="x14">
            <control shapeId="21544" r:id="rId26" name="Drop Down 40">
              <controlPr defaultSize="0" autoLine="0" autoPict="0">
                <anchor moveWithCells="1">
                  <from>
                    <xdr:col>2</xdr:col>
                    <xdr:colOff>0</xdr:colOff>
                    <xdr:row>57</xdr:row>
                    <xdr:rowOff>0</xdr:rowOff>
                  </from>
                  <to>
                    <xdr:col>2</xdr:col>
                    <xdr:colOff>1314450</xdr:colOff>
                    <xdr:row>58</xdr:row>
                    <xdr:rowOff>0</xdr:rowOff>
                  </to>
                </anchor>
              </controlPr>
            </control>
          </mc:Choice>
        </mc:AlternateContent>
        <mc:AlternateContent xmlns:mc="http://schemas.openxmlformats.org/markup-compatibility/2006">
          <mc:Choice Requires="x14">
            <control shapeId="21545" r:id="rId27" name="Drop Down 41">
              <controlPr defaultSize="0" autoLine="0" autoPict="0">
                <anchor moveWithCells="1">
                  <from>
                    <xdr:col>2</xdr:col>
                    <xdr:colOff>0</xdr:colOff>
                    <xdr:row>58</xdr:row>
                    <xdr:rowOff>0</xdr:rowOff>
                  </from>
                  <to>
                    <xdr:col>2</xdr:col>
                    <xdr:colOff>1314450</xdr:colOff>
                    <xdr:row>58</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Biersorten!$C$6:$C$81</xm:f>
          </x14:formula1>
          <xm:sqref>I4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3">
    <tabColor rgb="FFFFC000"/>
  </sheetPr>
  <dimension ref="B1:I77"/>
  <sheetViews>
    <sheetView zoomScale="130" zoomScaleNormal="130" workbookViewId="0">
      <selection activeCell="K9" sqref="K9"/>
    </sheetView>
  </sheetViews>
  <sheetFormatPr baseColWidth="10" defaultColWidth="11.42578125" defaultRowHeight="12.75"/>
  <cols>
    <col min="1" max="1" width="1.28515625" style="43" customWidth="1"/>
    <col min="2" max="2" width="24.5703125" style="43" customWidth="1"/>
    <col min="3" max="4" width="10.5703125" style="43" customWidth="1"/>
    <col min="5" max="5" width="25.42578125" style="43" customWidth="1"/>
    <col min="6" max="6" width="10.7109375" style="43" customWidth="1"/>
    <col min="7" max="7" width="1" style="43" customWidth="1"/>
    <col min="8" max="8" width="10.7109375" style="43" customWidth="1"/>
    <col min="9" max="9" width="1.42578125" style="83" customWidth="1"/>
    <col min="10" max="16384" width="11.42578125" style="43"/>
  </cols>
  <sheetData>
    <row r="1" spans="2:8" ht="18.95" customHeight="1">
      <c r="B1" s="42" t="s">
        <v>828</v>
      </c>
    </row>
    <row r="2" spans="2:8" ht="12" customHeight="1"/>
    <row r="3" spans="2:8">
      <c r="B3" s="130">
        <f>'Bier-Berechnung'!C3</f>
        <v>0</v>
      </c>
      <c r="C3" s="43" t="s">
        <v>810</v>
      </c>
      <c r="D3" s="66" t="s">
        <v>648</v>
      </c>
      <c r="E3" s="130" t="str">
        <f>'Bier-Berechnung'!E7</f>
        <v/>
      </c>
    </row>
    <row r="4" spans="2:8">
      <c r="B4" s="392"/>
      <c r="C4" s="43" t="s">
        <v>809</v>
      </c>
      <c r="D4" s="66" t="s">
        <v>811</v>
      </c>
      <c r="E4" s="385"/>
      <c r="F4" s="66" t="s">
        <v>649</v>
      </c>
      <c r="G4" s="66"/>
      <c r="H4" s="130">
        <f>'Bier-Berechnung'!F3</f>
        <v>0</v>
      </c>
    </row>
    <row r="5" spans="2:8" ht="6" customHeight="1"/>
    <row r="6" spans="2:8">
      <c r="B6" s="44" t="s">
        <v>818</v>
      </c>
      <c r="E6" s="44" t="s">
        <v>821</v>
      </c>
    </row>
    <row r="7" spans="2:8" ht="13.5" thickBot="1">
      <c r="B7" s="150" t="s">
        <v>813</v>
      </c>
      <c r="C7" s="147" t="str">
        <f>Berechnungen!C15</f>
        <v/>
      </c>
      <c r="D7" s="114" t="s">
        <v>17</v>
      </c>
      <c r="E7" s="130" t="s">
        <v>822</v>
      </c>
      <c r="F7" s="387" t="str">
        <f>IFERROR((Eckdaten!H7-'Rezept+Protokoll'!C7)/((Eckdaten!F7/2)^2*3.14/1000000),"")</f>
        <v/>
      </c>
      <c r="G7" s="668"/>
    </row>
    <row r="8" spans="2:8">
      <c r="B8" s="133" t="s">
        <v>812</v>
      </c>
      <c r="C8" s="134" t="str">
        <f>Berechnungen!C16</f>
        <v/>
      </c>
      <c r="F8" s="119"/>
      <c r="G8" s="119"/>
    </row>
    <row r="9" spans="2:8">
      <c r="B9" s="131" t="s">
        <v>814</v>
      </c>
      <c r="C9" s="134">
        <f>Berechnungen!C14</f>
        <v>25.740000000000002</v>
      </c>
      <c r="F9" s="115"/>
      <c r="G9" s="115"/>
    </row>
    <row r="10" spans="2:8" ht="6" customHeight="1">
      <c r="C10" s="110"/>
      <c r="F10" s="115"/>
      <c r="G10" s="115"/>
    </row>
    <row r="11" spans="2:8">
      <c r="B11" s="44" t="s">
        <v>827</v>
      </c>
      <c r="E11" s="44"/>
      <c r="F11" s="115"/>
      <c r="G11" s="115"/>
    </row>
    <row r="12" spans="2:8">
      <c r="B12" s="682" t="str">
        <f>IF(ISNUMBER('Bier-Berechnung'!B28),INDEX(Malze!$A$8:$A$25,Malze!H8),"")</f>
        <v/>
      </c>
      <c r="C12" s="683" t="str">
        <f>IF(ISNUMBER('Bier-Berechnung'!B28),'Bier-Berechnung'!F28,"")</f>
        <v/>
      </c>
      <c r="D12" s="273"/>
      <c r="E12" s="682" t="str">
        <f>IF(ISNUMBER('Bier-Berechnung'!B35),INDEX(Malze!$A$27:$A$40,Malze!H27),"")</f>
        <v/>
      </c>
      <c r="F12" s="684" t="str">
        <f>IF(ISNUMBER('Bier-Berechnung'!B35),'Bier-Berechnung'!F35,"")</f>
        <v/>
      </c>
      <c r="G12" s="685"/>
    </row>
    <row r="13" spans="2:8">
      <c r="B13" s="480" t="str">
        <f>IF(ISNUMBER('Bier-Berechnung'!B29),INDEX(Malze!$A$8:$A$25,Malze!H9),"")</f>
        <v/>
      </c>
      <c r="C13" s="686" t="str">
        <f>IF(ISNUMBER('Bier-Berechnung'!B29),'Bier-Berechnung'!F29,"")</f>
        <v/>
      </c>
      <c r="D13" s="273"/>
      <c r="E13" s="682" t="str">
        <f>IF(ISNUMBER('Bier-Berechnung'!B36),INDEX(Malze!$A$27:$A$40,Malze!H28),"")</f>
        <v/>
      </c>
      <c r="F13" s="687" t="str">
        <f>IF(ISNUMBER('Bier-Berechnung'!B36),'Bier-Berechnung'!F36,"")</f>
        <v/>
      </c>
      <c r="G13" s="685"/>
    </row>
    <row r="14" spans="2:8">
      <c r="B14" s="480" t="str">
        <f>IF(ISNUMBER('Bier-Berechnung'!B30),INDEX(Malze!$A$8:$A$25,Malze!H10),"")</f>
        <v/>
      </c>
      <c r="C14" s="686" t="str">
        <f>IF(ISNUMBER('Bier-Berechnung'!B30),'Bier-Berechnung'!F30,"")</f>
        <v/>
      </c>
      <c r="D14" s="273"/>
      <c r="E14" s="480" t="str">
        <f>IF(ISNUMBER('Bier-Berechnung'!B39),INDEX(Malze!$A$42:$A$56,Malze!H42),"")</f>
        <v/>
      </c>
      <c r="F14" s="687" t="str">
        <f>IF(ISNUMBER('Bier-Berechnung'!B39),'Bier-Berechnung'!F39,"")</f>
        <v/>
      </c>
      <c r="G14" s="685"/>
    </row>
    <row r="15" spans="2:8">
      <c r="B15" s="480" t="str">
        <f>IF(ISNUMBER('Bier-Berechnung'!B31),INDEX(Malze!$A$8:$A$25,Malze!H11),"")</f>
        <v/>
      </c>
      <c r="C15" s="686" t="str">
        <f>IF(ISNUMBER('Bier-Berechnung'!B31),'Bier-Berechnung'!F31,"")</f>
        <v/>
      </c>
      <c r="D15" s="273"/>
      <c r="E15" s="480" t="str">
        <f>IF(ISNUMBER('Bier-Berechnung'!B40),INDEX(Malze!$A$42:$A$56,Malze!H43),"")</f>
        <v/>
      </c>
      <c r="F15" s="687" t="str">
        <f>IF(ISNUMBER('Bier-Berechnung'!B40),'Bier-Berechnung'!F40,"")</f>
        <v/>
      </c>
      <c r="G15" s="685"/>
    </row>
    <row r="16" spans="2:8">
      <c r="B16" s="480" t="str">
        <f>IF(ISNUMBER('Bier-Berechnung'!B32),INDEX(Malze!$A$8:$A$25,Malze!H12),"")</f>
        <v/>
      </c>
      <c r="C16" s="686" t="str">
        <f>IF(ISNUMBER('Bier-Berechnung'!B32),'Bier-Berechnung'!F32,"")</f>
        <v/>
      </c>
      <c r="D16" s="273"/>
      <c r="E16" s="682" t="str">
        <f>IF(ISNUMBER('Bier-Berechnung'!B43),INDEX(Malze!$A$59:$A$69,Malze!H59),"")</f>
        <v/>
      </c>
      <c r="F16" s="684" t="str">
        <f>IF(ISNUMBER('Bier-Berechnung'!B43),'Bier-Berechnung'!F43,"")</f>
        <v/>
      </c>
      <c r="G16" s="685"/>
    </row>
    <row r="17" spans="2:9">
      <c r="B17" s="273"/>
      <c r="C17" s="273"/>
      <c r="D17" s="273"/>
      <c r="E17" s="480" t="str">
        <f>IF(ISNUMBER('Bier-Berechnung'!B44),INDEX(Malze!$A$59:$A$69,Malze!H60),"")</f>
        <v/>
      </c>
      <c r="F17" s="687" t="str">
        <f>IF(ISNUMBER('Bier-Berechnung'!B44),'Bier-Berechnung'!F44,"")</f>
        <v/>
      </c>
      <c r="G17" s="685"/>
    </row>
    <row r="18" spans="2:9">
      <c r="B18" s="148" t="s">
        <v>715</v>
      </c>
      <c r="C18" s="149" t="str">
        <f>'Bier-Berechnung'!$F$52</f>
        <v/>
      </c>
    </row>
    <row r="19" spans="2:9" ht="6" customHeight="1"/>
    <row r="20" spans="2:9" ht="6" customHeight="1">
      <c r="B20" s="120"/>
      <c r="C20" s="120"/>
      <c r="D20" s="120"/>
      <c r="E20" s="120"/>
      <c r="F20" s="120"/>
      <c r="G20" s="120"/>
      <c r="H20" s="120"/>
      <c r="I20" s="120"/>
    </row>
    <row r="21" spans="2:9" ht="15.75">
      <c r="B21" s="103" t="s">
        <v>823</v>
      </c>
      <c r="C21" s="102"/>
      <c r="D21" s="102"/>
      <c r="E21" s="104"/>
      <c r="F21" s="690" t="s">
        <v>2039</v>
      </c>
      <c r="G21" s="690"/>
      <c r="H21" s="690"/>
      <c r="I21" s="102"/>
    </row>
    <row r="22" spans="2:9" s="107" customFormat="1" ht="11.25" customHeight="1">
      <c r="B22" s="106"/>
      <c r="C22" s="116"/>
      <c r="D22" s="116"/>
      <c r="E22" s="117"/>
      <c r="F22" s="106" t="s">
        <v>2037</v>
      </c>
      <c r="G22" s="106"/>
      <c r="H22" s="106" t="s">
        <v>2038</v>
      </c>
      <c r="I22" s="372"/>
    </row>
    <row r="23" spans="2:9" ht="15" customHeight="1" thickBot="1">
      <c r="B23" s="122" t="s">
        <v>196</v>
      </c>
      <c r="C23" s="123">
        <v>38</v>
      </c>
      <c r="D23" s="124">
        <v>15</v>
      </c>
      <c r="E23" s="125"/>
      <c r="F23" s="380"/>
      <c r="G23" s="672"/>
      <c r="H23" s="380"/>
    </row>
    <row r="24" spans="2:9" ht="15" customHeight="1" thickBot="1">
      <c r="B24" s="126" t="s">
        <v>70</v>
      </c>
      <c r="C24" s="127">
        <v>52</v>
      </c>
      <c r="D24" s="128">
        <v>15</v>
      </c>
      <c r="E24" s="129"/>
      <c r="F24" s="381"/>
      <c r="G24" s="673"/>
      <c r="H24" s="381"/>
    </row>
    <row r="25" spans="2:9" ht="15" customHeight="1" thickBot="1">
      <c r="B25" s="126" t="s">
        <v>71</v>
      </c>
      <c r="C25" s="127">
        <v>63</v>
      </c>
      <c r="D25" s="128">
        <v>35</v>
      </c>
      <c r="E25" s="129"/>
      <c r="F25" s="381"/>
      <c r="G25" s="673"/>
      <c r="H25" s="381"/>
    </row>
    <row r="26" spans="2:9" ht="15" customHeight="1">
      <c r="B26" s="126" t="s">
        <v>1613</v>
      </c>
      <c r="C26" s="382"/>
      <c r="D26" s="128" t="s">
        <v>1612</v>
      </c>
      <c r="E26" s="129"/>
      <c r="F26" s="670"/>
      <c r="G26" s="671"/>
      <c r="H26" s="670"/>
    </row>
    <row r="27" spans="2:9" ht="15" customHeight="1" thickBot="1">
      <c r="B27" s="126" t="s">
        <v>79</v>
      </c>
      <c r="C27" s="127">
        <v>72</v>
      </c>
      <c r="D27" s="128">
        <v>20</v>
      </c>
      <c r="E27" s="129"/>
      <c r="F27" s="380"/>
      <c r="G27" s="672"/>
      <c r="H27" s="380"/>
    </row>
    <row r="28" spans="2:9" ht="15" customHeight="1" thickBot="1">
      <c r="B28" s="126" t="s">
        <v>80</v>
      </c>
      <c r="C28" s="127">
        <v>77</v>
      </c>
      <c r="D28" s="128">
        <v>20</v>
      </c>
      <c r="E28" s="129"/>
      <c r="F28" s="381"/>
      <c r="G28" s="673"/>
      <c r="H28" s="381"/>
    </row>
    <row r="29" spans="2:9">
      <c r="B29" s="108" t="s">
        <v>67</v>
      </c>
      <c r="C29" s="105"/>
      <c r="D29" s="118">
        <f>SUM(D23:D28)</f>
        <v>105</v>
      </c>
      <c r="E29" s="101"/>
      <c r="F29" s="100"/>
      <c r="G29" s="100"/>
      <c r="H29" s="100"/>
    </row>
    <row r="30" spans="2:9" ht="6" customHeight="1">
      <c r="B30" s="108"/>
      <c r="C30" s="105"/>
      <c r="D30" s="118"/>
      <c r="E30" s="101"/>
      <c r="F30" s="100"/>
      <c r="G30" s="100"/>
      <c r="H30" s="100"/>
    </row>
    <row r="31" spans="2:9" ht="15" customHeight="1">
      <c r="B31" s="143" t="s">
        <v>466</v>
      </c>
      <c r="C31" s="144"/>
      <c r="D31" s="124"/>
      <c r="E31" s="145"/>
      <c r="F31" s="676"/>
      <c r="G31" s="671"/>
      <c r="H31" s="671"/>
    </row>
    <row r="32" spans="2:9" ht="6" customHeight="1">
      <c r="B32" s="120"/>
      <c r="C32" s="120"/>
      <c r="D32" s="120"/>
      <c r="E32" s="120"/>
      <c r="F32" s="120"/>
      <c r="G32" s="120"/>
      <c r="H32" s="120"/>
      <c r="I32" s="120"/>
    </row>
    <row r="33" spans="2:9" ht="15.75">
      <c r="B33" s="71" t="s">
        <v>86</v>
      </c>
    </row>
    <row r="34" spans="2:9" ht="6" customHeight="1">
      <c r="B34" s="71"/>
    </row>
    <row r="35" spans="2:9" ht="15" customHeight="1" thickBot="1">
      <c r="B35" s="130" t="s">
        <v>181</v>
      </c>
      <c r="C35" s="130"/>
      <c r="D35" s="130"/>
      <c r="E35" s="130"/>
      <c r="F35" s="380"/>
      <c r="G35" s="672"/>
      <c r="H35" s="380"/>
    </row>
    <row r="36" spans="2:9" ht="15" customHeight="1" thickBot="1">
      <c r="B36" s="131" t="s">
        <v>857</v>
      </c>
      <c r="C36" s="131"/>
      <c r="D36" s="132">
        <v>20</v>
      </c>
      <c r="E36" s="131"/>
      <c r="F36" s="381"/>
      <c r="G36" s="673"/>
      <c r="H36" s="381"/>
    </row>
    <row r="37" spans="2:9" ht="15" customHeight="1" thickBot="1">
      <c r="B37" s="131" t="s">
        <v>824</v>
      </c>
      <c r="C37" s="131"/>
      <c r="D37" s="133"/>
      <c r="E37" s="131"/>
      <c r="F37" s="381"/>
      <c r="G37" s="673"/>
      <c r="H37" s="381"/>
    </row>
    <row r="38" spans="2:9" ht="15" customHeight="1" thickBot="1">
      <c r="B38" s="131" t="s">
        <v>812</v>
      </c>
      <c r="C38" s="131"/>
      <c r="D38" s="134" t="str">
        <f>C8</f>
        <v/>
      </c>
      <c r="E38" s="131"/>
      <c r="F38" s="381"/>
      <c r="G38" s="673"/>
      <c r="H38" s="381"/>
    </row>
    <row r="39" spans="2:9" ht="15" customHeight="1">
      <c r="B39" s="131" t="s">
        <v>825</v>
      </c>
      <c r="C39" s="131"/>
      <c r="D39" s="131"/>
      <c r="E39" s="131"/>
      <c r="F39" s="674"/>
      <c r="G39" s="675"/>
      <c r="H39" s="674"/>
    </row>
    <row r="40" spans="2:9" ht="6" customHeight="1">
      <c r="B40" s="187"/>
      <c r="C40" s="187"/>
      <c r="D40" s="187"/>
      <c r="E40" s="187"/>
      <c r="F40" s="187"/>
      <c r="G40" s="187"/>
      <c r="H40" s="187"/>
      <c r="I40" s="120"/>
    </row>
    <row r="41" spans="2:9" ht="15.75">
      <c r="B41" s="71" t="s">
        <v>464</v>
      </c>
    </row>
    <row r="42" spans="2:9" ht="5.25" customHeight="1">
      <c r="B42" s="71"/>
    </row>
    <row r="43" spans="2:9" ht="15" customHeight="1" thickBot="1">
      <c r="B43" s="130" t="s">
        <v>826</v>
      </c>
      <c r="C43" s="130"/>
      <c r="D43" s="130"/>
      <c r="E43" s="130"/>
      <c r="F43" s="130"/>
      <c r="G43" s="672"/>
      <c r="H43" s="380"/>
    </row>
    <row r="44" spans="2:9">
      <c r="B44" s="44" t="s">
        <v>722</v>
      </c>
    </row>
    <row r="45" spans="2:9" ht="15" customHeight="1" thickBot="1">
      <c r="B45" s="130" t="str">
        <f>IF(ISNUMBER('Bier-Berechnung'!B66),INDEX(Hopfen!$A$7:$A$116,Hopfen!$G$7),"")</f>
        <v/>
      </c>
      <c r="C45" s="135" t="str">
        <f>IF(ISNUMBER('Bier-Berechnung'!B66),'Bier-Berechnung'!B66,"")</f>
        <v/>
      </c>
      <c r="D45" s="136" t="str">
        <f>IF(ISNUMBER('Bier-Berechnung'!B66),'Bier-Berechnung'!D66,"")</f>
        <v/>
      </c>
      <c r="E45" s="130" t="s">
        <v>1611</v>
      </c>
      <c r="F45" s="380"/>
      <c r="G45" s="672"/>
      <c r="H45" s="380"/>
    </row>
    <row r="46" spans="2:9" ht="15" customHeight="1" thickBot="1">
      <c r="B46" s="131" t="str">
        <f>IF(ISNUMBER('Bier-Berechnung'!B67),INDEX(Hopfen!$A$7:$A$116,Hopfen!$G$8),"")</f>
        <v/>
      </c>
      <c r="C46" s="137" t="str">
        <f>IF(ISNUMBER('Bier-Berechnung'!B67),'Bier-Berechnung'!B67,"")</f>
        <v/>
      </c>
      <c r="D46" s="132" t="str">
        <f>IF(ISNUMBER('Bier-Berechnung'!B67),'Bier-Berechnung'!D67,"")</f>
        <v/>
      </c>
      <c r="E46" s="131" t="s">
        <v>1611</v>
      </c>
      <c r="F46" s="381"/>
      <c r="G46" s="673"/>
      <c r="H46" s="381"/>
    </row>
    <row r="47" spans="2:9" ht="15" customHeight="1" thickBot="1">
      <c r="B47" s="131" t="str">
        <f>IF(ISNUMBER('Bier-Berechnung'!B68),INDEX(Hopfen!$A$7:$A$116,Hopfen!$G$78),"")</f>
        <v/>
      </c>
      <c r="C47" s="137" t="str">
        <f>IF(ISNUMBER('Bier-Berechnung'!B68),'Bier-Berechnung'!B68,"")</f>
        <v/>
      </c>
      <c r="D47" s="132" t="str">
        <f>IF(ISNUMBER('Bier-Berechnung'!B68),'Bier-Berechnung'!D68,"")</f>
        <v/>
      </c>
      <c r="E47" s="131" t="s">
        <v>1611</v>
      </c>
      <c r="F47" s="381"/>
      <c r="G47" s="673"/>
      <c r="H47" s="381"/>
    </row>
    <row r="48" spans="2:9" ht="15" customHeight="1" thickBot="1">
      <c r="B48" s="131" t="str">
        <f>IF(ISNUMBER('Bier-Berechnung'!B71),INDEX(Hopfen!$A$7:$A$116,Hopfen!$G$79),"")</f>
        <v/>
      </c>
      <c r="C48" s="137" t="str">
        <f>IF(ISNUMBER('Bier-Berechnung'!B71),'Bier-Berechnung'!B71,"")</f>
        <v/>
      </c>
      <c r="D48" s="132" t="str">
        <f>IF(ISNUMBER('Bier-Berechnung'!B71),'Bier-Berechnung'!D71,"")</f>
        <v/>
      </c>
      <c r="E48" s="131" t="s">
        <v>1611</v>
      </c>
      <c r="F48" s="381"/>
      <c r="G48" s="673"/>
      <c r="H48" s="381"/>
    </row>
    <row r="49" spans="2:9" ht="15" customHeight="1" thickBot="1">
      <c r="B49" s="131" t="str">
        <f>IF(ISNUMBER('Bier-Berechnung'!B72),INDEX(Hopfen!$A$7:$A$116,Hopfen!$G$80),"")</f>
        <v/>
      </c>
      <c r="C49" s="137" t="str">
        <f>IF(ISNUMBER('Bier-Berechnung'!B72),'Bier-Berechnung'!B72,"")</f>
        <v/>
      </c>
      <c r="D49" s="132" t="str">
        <f>IF(ISNUMBER('Bier-Berechnung'!B72),'Bier-Berechnung'!D72,"")</f>
        <v/>
      </c>
      <c r="E49" s="131" t="s">
        <v>2040</v>
      </c>
      <c r="F49" s="381"/>
      <c r="G49" s="673"/>
      <c r="H49" s="381"/>
    </row>
    <row r="50" spans="2:9">
      <c r="B50" s="44" t="s">
        <v>190</v>
      </c>
      <c r="D50" s="115"/>
    </row>
    <row r="51" spans="2:9" ht="15" customHeight="1" thickBot="1">
      <c r="B51" s="130" t="str">
        <f>IF(ISNUMBER('Bier-Berechnung'!B56),INDEX(Brauzusätze!$A$15:$A$17,Brauzusätze!$I$14),"")</f>
        <v>Klärmittel / Eiweisstrennung</v>
      </c>
      <c r="C51" s="135">
        <f>IF(ISNUMBER('Bier-Berechnung'!F56),'Bier-Berechnung'!D56)</f>
        <v>0</v>
      </c>
      <c r="D51" s="136">
        <f>IF(ISNUMBER('Bier-Berechnung'!B56),'Bier-Berechnung'!G56)</f>
        <v>0</v>
      </c>
      <c r="E51" s="130" t="str">
        <f>IF(ISNUMBER('Bier-Berechnung'!F56),"Würzekochen")</f>
        <v>Würzekochen</v>
      </c>
      <c r="F51" s="380"/>
      <c r="G51" s="83"/>
      <c r="H51" s="83"/>
    </row>
    <row r="52" spans="2:9" ht="6" customHeight="1"/>
    <row r="53" spans="2:9" ht="15" customHeight="1" thickBot="1">
      <c r="B53" s="130" t="s">
        <v>830</v>
      </c>
      <c r="C53" s="146">
        <v>0</v>
      </c>
      <c r="D53" s="147">
        <f>(((Eckdaten!F7/2)^2*3.14)*(Eckdaten!D7-C53)/1000000*0.96)</f>
        <v>19.1655552</v>
      </c>
      <c r="E53" s="130" t="s">
        <v>2051</v>
      </c>
      <c r="F53" s="130"/>
      <c r="G53" s="672"/>
      <c r="H53" s="380"/>
    </row>
    <row r="54" spans="2:9" ht="15" customHeight="1" thickBot="1">
      <c r="B54" s="130" t="s">
        <v>831</v>
      </c>
      <c r="C54" s="130"/>
      <c r="D54" s="136">
        <v>25</v>
      </c>
      <c r="E54" s="130" t="s">
        <v>834</v>
      </c>
      <c r="F54" s="380"/>
      <c r="G54" s="673"/>
      <c r="H54" s="380"/>
    </row>
    <row r="55" spans="2:9" ht="15" customHeight="1" thickBot="1">
      <c r="B55" s="131" t="s">
        <v>465</v>
      </c>
      <c r="C55" s="131"/>
      <c r="D55" s="132">
        <v>20</v>
      </c>
      <c r="E55" s="131" t="s">
        <v>834</v>
      </c>
      <c r="F55" s="381"/>
      <c r="G55" s="673"/>
      <c r="H55" s="381"/>
    </row>
    <row r="56" spans="2:9" ht="15" customHeight="1" thickBot="1">
      <c r="B56" s="131" t="s">
        <v>832</v>
      </c>
      <c r="C56" s="131"/>
      <c r="D56" s="131"/>
      <c r="E56" s="131"/>
      <c r="F56" s="381"/>
      <c r="G56" s="673"/>
      <c r="H56" s="381"/>
    </row>
    <row r="57" spans="2:9" ht="15" customHeight="1">
      <c r="B57" s="131" t="s">
        <v>851</v>
      </c>
      <c r="C57" s="134">
        <f>Berechnungen!B71</f>
        <v>-19.1655552</v>
      </c>
      <c r="D57" s="131"/>
      <c r="E57" s="131" t="s">
        <v>1610</v>
      </c>
      <c r="F57" s="83"/>
      <c r="G57" s="83"/>
      <c r="H57" s="83"/>
    </row>
    <row r="58" spans="2:9">
      <c r="B58" s="130" t="s">
        <v>193</v>
      </c>
      <c r="C58" s="184"/>
      <c r="D58" s="185">
        <f>C58/1.04</f>
        <v>0</v>
      </c>
      <c r="E58" s="453">
        <f>Berechnungen!B78</f>
        <v>0.99835582915917886</v>
      </c>
      <c r="F58" s="186"/>
      <c r="G58" s="108"/>
    </row>
    <row r="59" spans="2:9" s="83" customFormat="1" ht="6" customHeight="1">
      <c r="B59" s="120"/>
      <c r="C59" s="120"/>
      <c r="D59" s="120"/>
      <c r="E59" s="120"/>
      <c r="F59" s="188"/>
      <c r="G59" s="188"/>
      <c r="H59" s="120"/>
      <c r="I59" s="120"/>
    </row>
    <row r="60" spans="2:9" s="83" customFormat="1" ht="6" customHeight="1">
      <c r="F60" s="108"/>
      <c r="G60" s="108"/>
    </row>
    <row r="61" spans="2:9" ht="15" customHeight="1">
      <c r="B61" s="130" t="s">
        <v>833</v>
      </c>
      <c r="C61" s="130"/>
      <c r="D61" s="189">
        <f>IF(ISNUMBER('Bier-Berechnung'!D84),'Bier-Berechnung'!E84,"")</f>
        <v>13</v>
      </c>
      <c r="E61" s="130" t="str">
        <f>IF(ISNUMBER('Bier-Berechnung'!D84),INDEX(Hefe!$A$6:$A$53,Hefe!$O$6),"")</f>
        <v>Keine Wahl</v>
      </c>
      <c r="F61" s="671"/>
      <c r="G61" s="671"/>
      <c r="H61" s="671"/>
    </row>
    <row r="62" spans="2:9" ht="6.75" customHeight="1">
      <c r="B62" s="187"/>
      <c r="C62" s="187"/>
      <c r="D62" s="187"/>
      <c r="E62" s="187"/>
      <c r="F62" s="187"/>
      <c r="G62" s="187"/>
      <c r="H62" s="187"/>
      <c r="I62" s="120"/>
    </row>
    <row r="63" spans="2:9" ht="6.75" customHeight="1"/>
    <row r="64" spans="2:9" ht="15" customHeight="1">
      <c r="B64" s="148" t="s">
        <v>1609</v>
      </c>
      <c r="C64" s="130"/>
      <c r="D64" s="130"/>
      <c r="E64" s="130"/>
      <c r="F64" s="671"/>
      <c r="G64" s="671"/>
      <c r="H64" s="671"/>
    </row>
    <row r="65" spans="2:9" ht="15" customHeight="1">
      <c r="B65" s="130" t="s">
        <v>1653</v>
      </c>
      <c r="C65" s="466">
        <f>IFERROR('Bier-Berechnung'!B77,"0")</f>
        <v>0</v>
      </c>
      <c r="D65" s="130"/>
      <c r="E65" s="130" t="str">
        <f>IF(ISNUMBER('Bier-Berechnung'!B77),INDEX(Hopfen!$A$7:$A$116,Hopfen!$G$81),"")</f>
        <v/>
      </c>
      <c r="F65" s="83"/>
      <c r="G65" s="83"/>
      <c r="H65" s="83"/>
    </row>
    <row r="66" spans="2:9" ht="15" customHeight="1">
      <c r="B66" s="130" t="s">
        <v>1599</v>
      </c>
      <c r="C66" s="208"/>
      <c r="D66" s="147">
        <f>D53-'Bier-Berechnung'!E19</f>
        <v>19.1655552</v>
      </c>
      <c r="E66" s="209" t="s">
        <v>1982</v>
      </c>
      <c r="F66" s="108"/>
      <c r="G66" s="108"/>
      <c r="H66" s="83"/>
    </row>
    <row r="67" spans="2:9" ht="13.7" customHeight="1">
      <c r="B67" s="130" t="s">
        <v>1607</v>
      </c>
      <c r="C67" s="184"/>
      <c r="D67" s="185">
        <f>C67/1.04</f>
        <v>0</v>
      </c>
      <c r="E67" s="130" t="s">
        <v>1608</v>
      </c>
      <c r="F67" s="130"/>
      <c r="G67" s="83"/>
    </row>
    <row r="68" spans="2:9" ht="9.9499999999999993" customHeight="1">
      <c r="B68" s="187"/>
      <c r="C68" s="187"/>
      <c r="D68" s="187"/>
      <c r="E68" s="187"/>
      <c r="F68" s="187"/>
      <c r="G68" s="187"/>
      <c r="H68" s="187"/>
      <c r="I68" s="120"/>
    </row>
    <row r="69" spans="2:9" ht="13.7" customHeight="1"/>
    <row r="70" spans="2:9" ht="13.7" customHeight="1">
      <c r="B70" s="71" t="s">
        <v>865</v>
      </c>
    </row>
    <row r="71" spans="2:9" ht="6" customHeight="1"/>
    <row r="72" spans="2:9">
      <c r="B72" s="44" t="s">
        <v>835</v>
      </c>
      <c r="C72" s="115"/>
      <c r="D72" s="115"/>
    </row>
    <row r="73" spans="2:9">
      <c r="B73" s="130" t="s">
        <v>836</v>
      </c>
      <c r="C73" s="138">
        <v>1</v>
      </c>
      <c r="D73" s="571">
        <v>3.3</v>
      </c>
      <c r="E73" s="130"/>
      <c r="F73" s="139">
        <f>($D$66/D73*10)*C73</f>
        <v>58.077440000000003</v>
      </c>
      <c r="G73" s="669"/>
    </row>
    <row r="74" spans="2:9">
      <c r="B74" s="131"/>
      <c r="C74" s="140">
        <v>0</v>
      </c>
      <c r="D74" s="141">
        <v>5</v>
      </c>
      <c r="E74" s="131"/>
      <c r="F74" s="142">
        <f>($D$66/D74*10)*C74</f>
        <v>0</v>
      </c>
      <c r="G74" s="669"/>
    </row>
    <row r="76" spans="2:9">
      <c r="B76" s="43" t="s">
        <v>841</v>
      </c>
      <c r="D76" s="206">
        <f>Berechnungen!B80</f>
        <v>0</v>
      </c>
    </row>
    <row r="77" spans="2:9">
      <c r="B77" s="43" t="s">
        <v>195</v>
      </c>
      <c r="D77" s="207" t="e">
        <f>Berechnungen!B88</f>
        <v>#VALUE!</v>
      </c>
    </row>
  </sheetData>
  <mergeCells count="1">
    <mergeCell ref="F21:H21"/>
  </mergeCells>
  <pageMargins left="0.98425196850393704" right="0.31496062992125984" top="0.39370078740157483" bottom="0.39370078740157483" header="0.31496062992125984" footer="0.31496062992125984"/>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5" r:id="rId4" name="Drop Down 7">
              <controlPr defaultSize="0" autoLine="0" autoPict="0">
                <anchor moveWithCells="1">
                  <from>
                    <xdr:col>7</xdr:col>
                    <xdr:colOff>38100</xdr:colOff>
                    <xdr:row>15</xdr:row>
                    <xdr:rowOff>0</xdr:rowOff>
                  </from>
                  <to>
                    <xdr:col>7</xdr:col>
                    <xdr:colOff>571500</xdr:colOff>
                    <xdr:row>16</xdr:row>
                    <xdr:rowOff>0</xdr:rowOff>
                  </to>
                </anchor>
              </controlPr>
            </control>
          </mc:Choice>
        </mc:AlternateContent>
        <mc:AlternateContent xmlns:mc="http://schemas.openxmlformats.org/markup-compatibility/2006">
          <mc:Choice Requires="x14">
            <control shapeId="22536" r:id="rId5" name="Drop Down 8">
              <controlPr defaultSize="0" autoLine="0" autoPict="0">
                <anchor moveWithCells="1">
                  <from>
                    <xdr:col>7</xdr:col>
                    <xdr:colOff>38100</xdr:colOff>
                    <xdr:row>15</xdr:row>
                    <xdr:rowOff>152400</xdr:rowOff>
                  </from>
                  <to>
                    <xdr:col>7</xdr:col>
                    <xdr:colOff>571500</xdr:colOff>
                    <xdr:row>16</xdr:row>
                    <xdr:rowOff>152400</xdr:rowOff>
                  </to>
                </anchor>
              </controlPr>
            </control>
          </mc:Choice>
        </mc:AlternateContent>
        <mc:AlternateContent xmlns:mc="http://schemas.openxmlformats.org/markup-compatibility/2006">
          <mc:Choice Requires="x14">
            <control shapeId="22547" r:id="rId6" name="Check Box 19">
              <controlPr defaultSize="0" autoFill="0" autoLine="0" autoPict="0">
                <anchor moveWithCells="1">
                  <from>
                    <xdr:col>3</xdr:col>
                    <xdr:colOff>9525</xdr:colOff>
                    <xdr:row>30</xdr:row>
                    <xdr:rowOff>9525</xdr:rowOff>
                  </from>
                  <to>
                    <xdr:col>4</xdr:col>
                    <xdr:colOff>466725</xdr:colOff>
                    <xdr:row>31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8">
    <tabColor rgb="FFFDE555"/>
    <pageSetUpPr fitToPage="1"/>
  </sheetPr>
  <dimension ref="A1:N110"/>
  <sheetViews>
    <sheetView showGridLines="0" topLeftCell="A40" zoomScale="85" zoomScaleNormal="85" workbookViewId="0">
      <selection activeCell="Q69" sqref="Q69"/>
    </sheetView>
  </sheetViews>
  <sheetFormatPr baseColWidth="10" defaultColWidth="11.42578125" defaultRowHeight="12.75"/>
  <cols>
    <col min="1" max="1" width="4.85546875" style="2" customWidth="1"/>
    <col min="2" max="2" width="31" style="1" customWidth="1"/>
    <col min="3" max="3" width="27.140625" style="1" customWidth="1"/>
    <col min="4" max="4" width="12.42578125" style="3" customWidth="1"/>
    <col min="5" max="7" width="11.42578125" style="1"/>
    <col min="8" max="8" width="12" style="1" customWidth="1"/>
    <col min="9" max="10" width="6.42578125" style="1" customWidth="1"/>
    <col min="11" max="11" width="10.5703125" style="1" customWidth="1"/>
    <col min="12" max="13" width="11.42578125" style="1"/>
    <col min="14" max="14" width="14.42578125" style="393" customWidth="1"/>
    <col min="15" max="16384" width="11.42578125" style="1"/>
  </cols>
  <sheetData>
    <row r="1" spans="1:14" ht="18.75">
      <c r="A1" s="412" t="s">
        <v>369</v>
      </c>
      <c r="B1" s="273"/>
      <c r="C1" s="273"/>
      <c r="D1" s="274"/>
      <c r="E1" s="273"/>
      <c r="F1" s="273"/>
      <c r="G1" s="273"/>
      <c r="H1" s="273"/>
      <c r="I1" s="273"/>
      <c r="J1" s="273"/>
      <c r="K1" s="273"/>
      <c r="L1" s="273"/>
    </row>
    <row r="2" spans="1:14" ht="18.75">
      <c r="A2" s="412"/>
      <c r="B2" s="273"/>
      <c r="C2" s="273"/>
      <c r="D2" s="274"/>
      <c r="E2" s="273"/>
      <c r="F2" s="273"/>
      <c r="G2" s="273"/>
      <c r="H2" s="273"/>
      <c r="I2" s="273"/>
      <c r="J2" s="273"/>
      <c r="K2" s="273"/>
      <c r="L2" s="273"/>
    </row>
    <row r="3" spans="1:14" s="11" customFormat="1" ht="15">
      <c r="A3" s="413"/>
      <c r="B3" s="422"/>
      <c r="C3" s="422"/>
      <c r="D3" s="424"/>
      <c r="E3" s="422"/>
      <c r="F3" s="422"/>
      <c r="G3" s="422"/>
      <c r="H3" s="422"/>
      <c r="I3" s="422"/>
      <c r="J3" s="422"/>
      <c r="K3" s="422"/>
      <c r="L3" s="422"/>
      <c r="M3" s="7"/>
      <c r="N3" s="394"/>
    </row>
    <row r="4" spans="1:14" s="178" customFormat="1" ht="36">
      <c r="A4" s="572" t="s">
        <v>457</v>
      </c>
      <c r="B4" s="573" t="s">
        <v>85</v>
      </c>
      <c r="C4" s="573" t="s">
        <v>22</v>
      </c>
      <c r="D4" s="574"/>
      <c r="E4" s="575" t="s">
        <v>459</v>
      </c>
      <c r="F4" s="575" t="s">
        <v>460</v>
      </c>
      <c r="G4" s="575" t="s">
        <v>96</v>
      </c>
      <c r="H4" s="575" t="s">
        <v>458</v>
      </c>
      <c r="I4" s="575" t="s">
        <v>57</v>
      </c>
      <c r="J4" s="575" t="s">
        <v>58</v>
      </c>
      <c r="K4" s="575" t="s">
        <v>656</v>
      </c>
      <c r="L4" s="576" t="s">
        <v>310</v>
      </c>
      <c r="N4" s="395" t="s">
        <v>15</v>
      </c>
    </row>
    <row r="5" spans="1:14" s="13" customFormat="1" ht="19.5" customHeight="1">
      <c r="A5" s="399"/>
      <c r="B5" s="400"/>
      <c r="C5" s="401" t="s">
        <v>648</v>
      </c>
      <c r="D5" s="402"/>
      <c r="E5" s="399"/>
      <c r="F5" s="399"/>
      <c r="G5" s="399"/>
      <c r="H5" s="399"/>
      <c r="I5" s="399"/>
      <c r="J5" s="399"/>
      <c r="K5" s="399"/>
      <c r="L5" s="399"/>
      <c r="M5" s="12"/>
      <c r="N5" s="396">
        <v>1</v>
      </c>
    </row>
    <row r="6" spans="1:14" s="254" customFormat="1" ht="16.5" customHeight="1">
      <c r="A6" s="247">
        <v>1</v>
      </c>
      <c r="B6" s="248" t="s">
        <v>461</v>
      </c>
      <c r="C6" s="249" t="s">
        <v>333</v>
      </c>
      <c r="D6" s="250" t="s">
        <v>107</v>
      </c>
      <c r="E6" s="251" t="s">
        <v>251</v>
      </c>
      <c r="F6" s="251" t="s">
        <v>136</v>
      </c>
      <c r="G6" s="251" t="s">
        <v>120</v>
      </c>
      <c r="H6" s="251" t="s">
        <v>380</v>
      </c>
      <c r="I6" s="252"/>
      <c r="J6" s="252" t="s">
        <v>59</v>
      </c>
      <c r="K6" s="251" t="s">
        <v>212</v>
      </c>
      <c r="L6" s="253" t="s">
        <v>334</v>
      </c>
      <c r="N6" s="397"/>
    </row>
    <row r="7" spans="1:14" s="254" customFormat="1" ht="16.5" customHeight="1">
      <c r="A7" s="255"/>
      <c r="B7" s="248" t="s">
        <v>461</v>
      </c>
      <c r="C7" s="249" t="s">
        <v>198</v>
      </c>
      <c r="D7" s="250" t="s">
        <v>107</v>
      </c>
      <c r="E7" s="251" t="s">
        <v>97</v>
      </c>
      <c r="F7" s="251" t="s">
        <v>282</v>
      </c>
      <c r="G7" s="251" t="s">
        <v>200</v>
      </c>
      <c r="H7" s="251" t="s">
        <v>201</v>
      </c>
      <c r="I7" s="252"/>
      <c r="J7" s="252" t="s">
        <v>59</v>
      </c>
      <c r="K7" s="251" t="s">
        <v>212</v>
      </c>
      <c r="L7" s="253" t="s">
        <v>124</v>
      </c>
      <c r="N7" s="398"/>
    </row>
    <row r="8" spans="1:14" s="254" customFormat="1" ht="16.5" customHeight="1">
      <c r="A8" s="255"/>
      <c r="B8" s="248" t="s">
        <v>461</v>
      </c>
      <c r="C8" s="249" t="s">
        <v>370</v>
      </c>
      <c r="D8" s="250" t="s">
        <v>107</v>
      </c>
      <c r="E8" s="251" t="s">
        <v>31</v>
      </c>
      <c r="F8" s="251" t="s">
        <v>335</v>
      </c>
      <c r="G8" s="251" t="s">
        <v>336</v>
      </c>
      <c r="H8" s="251" t="s">
        <v>283</v>
      </c>
      <c r="I8" s="252"/>
      <c r="J8" s="252" t="s">
        <v>59</v>
      </c>
      <c r="K8" s="251" t="s">
        <v>212</v>
      </c>
      <c r="L8" s="253" t="s">
        <v>337</v>
      </c>
      <c r="N8" s="398"/>
    </row>
    <row r="9" spans="1:14" s="254" customFormat="1" ht="16.5" customHeight="1">
      <c r="A9" s="255"/>
      <c r="B9" s="248" t="s">
        <v>461</v>
      </c>
      <c r="C9" s="256" t="s">
        <v>63</v>
      </c>
      <c r="D9" s="257" t="s">
        <v>228</v>
      </c>
      <c r="E9" s="258" t="s">
        <v>371</v>
      </c>
      <c r="F9" s="258" t="s">
        <v>372</v>
      </c>
      <c r="G9" s="258" t="s">
        <v>374</v>
      </c>
      <c r="H9" s="258" t="s">
        <v>373</v>
      </c>
      <c r="I9" s="259"/>
      <c r="J9" s="259" t="s">
        <v>59</v>
      </c>
      <c r="K9" s="251" t="s">
        <v>657</v>
      </c>
      <c r="L9" s="260" t="s">
        <v>378</v>
      </c>
      <c r="N9" s="398"/>
    </row>
    <row r="10" spans="1:14" ht="16.5" customHeight="1">
      <c r="B10" s="248" t="s">
        <v>461</v>
      </c>
      <c r="C10" s="256" t="s">
        <v>121</v>
      </c>
      <c r="D10" s="257" t="s">
        <v>228</v>
      </c>
      <c r="E10" s="259" t="s">
        <v>375</v>
      </c>
      <c r="F10" s="258" t="s">
        <v>251</v>
      </c>
      <c r="G10" s="258" t="s">
        <v>376</v>
      </c>
      <c r="H10" s="258" t="s">
        <v>377</v>
      </c>
      <c r="I10" s="259"/>
      <c r="J10" s="259" t="s">
        <v>59</v>
      </c>
      <c r="K10" s="251" t="s">
        <v>657</v>
      </c>
      <c r="L10" s="261" t="s">
        <v>379</v>
      </c>
    </row>
    <row r="11" spans="1:14" ht="16.5" customHeight="1">
      <c r="B11" s="248" t="s">
        <v>461</v>
      </c>
      <c r="C11" s="256" t="s">
        <v>30</v>
      </c>
      <c r="D11" s="257" t="s">
        <v>229</v>
      </c>
      <c r="E11" s="259" t="s">
        <v>123</v>
      </c>
      <c r="F11" s="258" t="s">
        <v>62</v>
      </c>
      <c r="G11" s="258" t="s">
        <v>73</v>
      </c>
      <c r="H11" s="259"/>
      <c r="I11" s="259"/>
      <c r="J11" s="259" t="s">
        <v>59</v>
      </c>
      <c r="K11" s="262" t="s">
        <v>212</v>
      </c>
      <c r="L11" s="260" t="s">
        <v>124</v>
      </c>
    </row>
    <row r="12" spans="1:14" ht="16.5" customHeight="1">
      <c r="A12" s="263">
        <v>2</v>
      </c>
      <c r="B12" s="264" t="s">
        <v>24</v>
      </c>
      <c r="C12" s="265" t="s">
        <v>338</v>
      </c>
      <c r="D12" s="266" t="s">
        <v>228</v>
      </c>
      <c r="E12" s="267" t="s">
        <v>339</v>
      </c>
      <c r="F12" s="268" t="s">
        <v>340</v>
      </c>
      <c r="G12" s="268" t="s">
        <v>381</v>
      </c>
      <c r="H12" s="268" t="s">
        <v>382</v>
      </c>
      <c r="I12" s="267"/>
      <c r="J12" s="267" t="s">
        <v>59</v>
      </c>
      <c r="K12" s="269" t="s">
        <v>658</v>
      </c>
      <c r="L12" s="270" t="s">
        <v>131</v>
      </c>
    </row>
    <row r="13" spans="1:14" ht="16.5" customHeight="1">
      <c r="B13" s="271" t="s">
        <v>24</v>
      </c>
      <c r="C13" s="256" t="s">
        <v>383</v>
      </c>
      <c r="D13" s="257" t="s">
        <v>100</v>
      </c>
      <c r="E13" s="259" t="s">
        <v>99</v>
      </c>
      <c r="F13" s="258" t="s">
        <v>341</v>
      </c>
      <c r="G13" s="258" t="s">
        <v>385</v>
      </c>
      <c r="H13" s="258" t="s">
        <v>386</v>
      </c>
      <c r="I13" s="259"/>
      <c r="J13" s="259" t="s">
        <v>59</v>
      </c>
      <c r="K13" s="251" t="s">
        <v>658</v>
      </c>
      <c r="L13" s="260" t="s">
        <v>98</v>
      </c>
    </row>
    <row r="14" spans="1:14" ht="16.5" customHeight="1">
      <c r="B14" s="272" t="s">
        <v>24</v>
      </c>
      <c r="C14" s="273" t="s">
        <v>199</v>
      </c>
      <c r="D14" s="274" t="s">
        <v>107</v>
      </c>
      <c r="E14" s="251" t="s">
        <v>26</v>
      </c>
      <c r="F14" s="251" t="s">
        <v>311</v>
      </c>
      <c r="G14" s="251" t="s">
        <v>387</v>
      </c>
      <c r="H14" s="252" t="s">
        <v>377</v>
      </c>
      <c r="I14" s="252"/>
      <c r="J14" s="252" t="s">
        <v>59</v>
      </c>
      <c r="K14" s="262" t="s">
        <v>658</v>
      </c>
      <c r="L14" s="253" t="s">
        <v>202</v>
      </c>
    </row>
    <row r="15" spans="1:14" ht="16.5" customHeight="1">
      <c r="A15" s="263">
        <v>3</v>
      </c>
      <c r="B15" s="275" t="s">
        <v>463</v>
      </c>
      <c r="C15" s="265" t="s">
        <v>328</v>
      </c>
      <c r="D15" s="266" t="s">
        <v>332</v>
      </c>
      <c r="E15" s="276" t="s">
        <v>384</v>
      </c>
      <c r="F15" s="277" t="s">
        <v>297</v>
      </c>
      <c r="G15" s="278" t="s">
        <v>388</v>
      </c>
      <c r="H15" s="278" t="s">
        <v>285</v>
      </c>
      <c r="I15" s="267"/>
      <c r="J15" s="267" t="s">
        <v>59</v>
      </c>
      <c r="K15" s="269" t="s">
        <v>657</v>
      </c>
      <c r="L15" s="270" t="s">
        <v>215</v>
      </c>
    </row>
    <row r="16" spans="1:14" ht="16.5" customHeight="1">
      <c r="B16" s="279" t="s">
        <v>463</v>
      </c>
      <c r="C16" s="249" t="s">
        <v>329</v>
      </c>
      <c r="D16" s="250" t="s">
        <v>228</v>
      </c>
      <c r="E16" s="252" t="s">
        <v>330</v>
      </c>
      <c r="F16" s="280" t="s">
        <v>389</v>
      </c>
      <c r="G16" s="251" t="s">
        <v>326</v>
      </c>
      <c r="H16" s="251" t="s">
        <v>327</v>
      </c>
      <c r="I16" s="252"/>
      <c r="J16" s="252" t="s">
        <v>59</v>
      </c>
      <c r="K16" s="251" t="s">
        <v>659</v>
      </c>
      <c r="L16" s="253" t="s">
        <v>331</v>
      </c>
    </row>
    <row r="17" spans="1:12" ht="16.5" customHeight="1">
      <c r="A17" s="263">
        <v>4</v>
      </c>
      <c r="B17" s="281" t="s">
        <v>462</v>
      </c>
      <c r="C17" s="265" t="s">
        <v>342</v>
      </c>
      <c r="D17" s="266" t="s">
        <v>107</v>
      </c>
      <c r="E17" s="268" t="s">
        <v>343</v>
      </c>
      <c r="F17" s="268" t="s">
        <v>205</v>
      </c>
      <c r="G17" s="268" t="s">
        <v>390</v>
      </c>
      <c r="H17" s="268" t="s">
        <v>283</v>
      </c>
      <c r="I17" s="282"/>
      <c r="J17" s="267" t="s">
        <v>59</v>
      </c>
      <c r="K17" s="283"/>
      <c r="L17" s="270" t="s">
        <v>344</v>
      </c>
    </row>
    <row r="18" spans="1:12" ht="16.5" customHeight="1">
      <c r="A18" s="284"/>
      <c r="B18" s="281" t="s">
        <v>462</v>
      </c>
      <c r="C18" s="285" t="s">
        <v>125</v>
      </c>
      <c r="D18" s="286" t="s">
        <v>228</v>
      </c>
      <c r="E18" s="287" t="s">
        <v>119</v>
      </c>
      <c r="F18" s="287" t="s">
        <v>345</v>
      </c>
      <c r="G18" s="287" t="s">
        <v>376</v>
      </c>
      <c r="H18" s="287" t="s">
        <v>391</v>
      </c>
      <c r="I18" s="288"/>
      <c r="J18" s="289" t="s">
        <v>59</v>
      </c>
      <c r="K18" s="290"/>
      <c r="L18" s="291" t="s">
        <v>127</v>
      </c>
    </row>
    <row r="19" spans="1:12" ht="16.5" customHeight="1">
      <c r="B19" s="281" t="s">
        <v>462</v>
      </c>
      <c r="C19" s="249" t="s">
        <v>126</v>
      </c>
      <c r="D19" s="250" t="s">
        <v>228</v>
      </c>
      <c r="E19" s="251" t="s">
        <v>128</v>
      </c>
      <c r="F19" s="251" t="s">
        <v>346</v>
      </c>
      <c r="G19" s="251" t="s">
        <v>388</v>
      </c>
      <c r="H19" s="251" t="s">
        <v>391</v>
      </c>
      <c r="I19" s="292"/>
      <c r="J19" s="252" t="s">
        <v>59</v>
      </c>
      <c r="K19" s="262" t="s">
        <v>659</v>
      </c>
      <c r="L19" s="253" t="s">
        <v>129</v>
      </c>
    </row>
    <row r="20" spans="1:12" ht="16.5" customHeight="1">
      <c r="A20" s="263">
        <v>5</v>
      </c>
      <c r="B20" s="293" t="s">
        <v>113</v>
      </c>
      <c r="C20" s="265" t="s">
        <v>114</v>
      </c>
      <c r="D20" s="266" t="s">
        <v>228</v>
      </c>
      <c r="E20" s="267" t="s">
        <v>115</v>
      </c>
      <c r="F20" s="268" t="s">
        <v>392</v>
      </c>
      <c r="G20" s="268" t="s">
        <v>393</v>
      </c>
      <c r="H20" s="268" t="s">
        <v>394</v>
      </c>
      <c r="I20" s="267"/>
      <c r="J20" s="267" t="s">
        <v>59</v>
      </c>
      <c r="K20" s="287" t="s">
        <v>659</v>
      </c>
      <c r="L20" s="270" t="s">
        <v>117</v>
      </c>
    </row>
    <row r="21" spans="1:12" ht="16.5" customHeight="1">
      <c r="A21" s="284"/>
      <c r="B21" s="294" t="s">
        <v>113</v>
      </c>
      <c r="C21" s="285" t="s">
        <v>203</v>
      </c>
      <c r="D21" s="286" t="s">
        <v>228</v>
      </c>
      <c r="E21" s="287" t="s">
        <v>204</v>
      </c>
      <c r="F21" s="287" t="s">
        <v>205</v>
      </c>
      <c r="G21" s="287" t="s">
        <v>395</v>
      </c>
      <c r="H21" s="287" t="s">
        <v>347</v>
      </c>
      <c r="I21" s="289"/>
      <c r="J21" s="289" t="s">
        <v>59</v>
      </c>
      <c r="K21" s="258" t="s">
        <v>659</v>
      </c>
      <c r="L21" s="291" t="s">
        <v>206</v>
      </c>
    </row>
    <row r="22" spans="1:12" ht="16.5" customHeight="1">
      <c r="A22" s="284"/>
      <c r="B22" s="294" t="s">
        <v>113</v>
      </c>
      <c r="C22" s="249" t="s">
        <v>28</v>
      </c>
      <c r="D22" s="250" t="s">
        <v>228</v>
      </c>
      <c r="E22" s="252" t="s">
        <v>118</v>
      </c>
      <c r="F22" s="251" t="s">
        <v>396</v>
      </c>
      <c r="G22" s="251" t="s">
        <v>397</v>
      </c>
      <c r="H22" s="251" t="s">
        <v>398</v>
      </c>
      <c r="I22" s="252"/>
      <c r="J22" s="252" t="s">
        <v>59</v>
      </c>
      <c r="K22" s="258" t="s">
        <v>659</v>
      </c>
      <c r="L22" s="253" t="s">
        <v>120</v>
      </c>
    </row>
    <row r="23" spans="1:12" ht="16.5" customHeight="1">
      <c r="B23" s="295" t="s">
        <v>113</v>
      </c>
      <c r="C23" s="249" t="s">
        <v>348</v>
      </c>
      <c r="D23" s="250" t="s">
        <v>228</v>
      </c>
      <c r="E23" s="251" t="s">
        <v>29</v>
      </c>
      <c r="F23" s="251" t="s">
        <v>349</v>
      </c>
      <c r="G23" s="251" t="s">
        <v>350</v>
      </c>
      <c r="H23" s="251" t="s">
        <v>351</v>
      </c>
      <c r="I23" s="252"/>
      <c r="J23" s="252" t="s">
        <v>59</v>
      </c>
      <c r="K23" s="258" t="s">
        <v>659</v>
      </c>
      <c r="L23" s="253" t="s">
        <v>352</v>
      </c>
    </row>
    <row r="24" spans="1:12" ht="16.5" customHeight="1">
      <c r="A24" s="263">
        <v>6</v>
      </c>
      <c r="B24" s="296" t="s">
        <v>207</v>
      </c>
      <c r="C24" s="265" t="s">
        <v>208</v>
      </c>
      <c r="D24" s="266" t="s">
        <v>230</v>
      </c>
      <c r="E24" s="268" t="s">
        <v>116</v>
      </c>
      <c r="F24" s="268" t="s">
        <v>311</v>
      </c>
      <c r="G24" s="268" t="s">
        <v>399</v>
      </c>
      <c r="H24" s="268" t="s">
        <v>382</v>
      </c>
      <c r="I24" s="267" t="s">
        <v>59</v>
      </c>
      <c r="J24" s="267"/>
      <c r="K24" s="667" t="s">
        <v>660</v>
      </c>
      <c r="L24" s="270" t="s">
        <v>210</v>
      </c>
    </row>
    <row r="25" spans="1:12" ht="16.5" customHeight="1">
      <c r="A25" s="284"/>
      <c r="B25" s="248" t="s">
        <v>207</v>
      </c>
      <c r="C25" s="285" t="s">
        <v>60</v>
      </c>
      <c r="D25" s="286" t="s">
        <v>228</v>
      </c>
      <c r="E25" s="289" t="s">
        <v>130</v>
      </c>
      <c r="F25" s="287" t="s">
        <v>120</v>
      </c>
      <c r="G25" s="287" t="s">
        <v>381</v>
      </c>
      <c r="H25" s="287" t="s">
        <v>353</v>
      </c>
      <c r="I25" s="289" t="s">
        <v>59</v>
      </c>
      <c r="J25" s="289"/>
      <c r="K25" s="258" t="s">
        <v>215</v>
      </c>
      <c r="L25" s="291" t="s">
        <v>131</v>
      </c>
    </row>
    <row r="26" spans="1:12" ht="16.5" customHeight="1">
      <c r="B26" s="297" t="s">
        <v>207</v>
      </c>
      <c r="C26" s="249" t="s">
        <v>209</v>
      </c>
      <c r="D26" s="250" t="s">
        <v>107</v>
      </c>
      <c r="E26" s="251" t="s">
        <v>211</v>
      </c>
      <c r="F26" s="251" t="s">
        <v>311</v>
      </c>
      <c r="G26" s="251" t="s">
        <v>400</v>
      </c>
      <c r="H26" s="251" t="s">
        <v>382</v>
      </c>
      <c r="I26" s="252" t="s">
        <v>59</v>
      </c>
      <c r="J26" s="252"/>
      <c r="K26" s="262" t="s">
        <v>660</v>
      </c>
      <c r="L26" s="253" t="s">
        <v>212</v>
      </c>
    </row>
    <row r="27" spans="1:12" ht="16.5" customHeight="1">
      <c r="A27" s="263">
        <v>7</v>
      </c>
      <c r="B27" s="298" t="s">
        <v>467</v>
      </c>
      <c r="C27" s="265" t="s">
        <v>213</v>
      </c>
      <c r="D27" s="266" t="s">
        <v>228</v>
      </c>
      <c r="E27" s="268" t="s">
        <v>26</v>
      </c>
      <c r="F27" s="268" t="s">
        <v>401</v>
      </c>
      <c r="G27" s="268" t="s">
        <v>356</v>
      </c>
      <c r="H27" s="268" t="s">
        <v>377</v>
      </c>
      <c r="I27" s="267" t="s">
        <v>59</v>
      </c>
      <c r="J27" s="267"/>
      <c r="K27" s="287" t="s">
        <v>659</v>
      </c>
      <c r="L27" s="270" t="s">
        <v>112</v>
      </c>
    </row>
    <row r="28" spans="1:12" ht="16.5" customHeight="1">
      <c r="A28" s="284"/>
      <c r="B28" s="299" t="s">
        <v>467</v>
      </c>
      <c r="C28" s="256" t="s">
        <v>214</v>
      </c>
      <c r="D28" s="257" t="s">
        <v>107</v>
      </c>
      <c r="E28" s="258" t="s">
        <v>61</v>
      </c>
      <c r="F28" s="258" t="s">
        <v>330</v>
      </c>
      <c r="G28" s="258" t="s">
        <v>284</v>
      </c>
      <c r="H28" s="258" t="s">
        <v>402</v>
      </c>
      <c r="I28" s="259" t="s">
        <v>59</v>
      </c>
      <c r="J28" s="259"/>
      <c r="K28" s="300"/>
      <c r="L28" s="260" t="s">
        <v>215</v>
      </c>
    </row>
    <row r="29" spans="1:12" ht="16.5" customHeight="1">
      <c r="A29" s="284"/>
      <c r="B29" s="301" t="s">
        <v>467</v>
      </c>
      <c r="C29" s="302" t="s">
        <v>354</v>
      </c>
      <c r="D29" s="303" t="s">
        <v>228</v>
      </c>
      <c r="E29" s="269" t="s">
        <v>355</v>
      </c>
      <c r="F29" s="269" t="s">
        <v>403</v>
      </c>
      <c r="G29" s="269" t="s">
        <v>356</v>
      </c>
      <c r="H29" s="269" t="s">
        <v>377</v>
      </c>
      <c r="I29" s="304" t="s">
        <v>59</v>
      </c>
      <c r="J29" s="304"/>
      <c r="K29" s="258" t="s">
        <v>659</v>
      </c>
      <c r="L29" s="305" t="s">
        <v>112</v>
      </c>
    </row>
    <row r="30" spans="1:12" ht="16.5" customHeight="1">
      <c r="A30" s="263">
        <v>8</v>
      </c>
      <c r="B30" s="306" t="s">
        <v>216</v>
      </c>
      <c r="C30" s="265" t="s">
        <v>218</v>
      </c>
      <c r="D30" s="266" t="s">
        <v>230</v>
      </c>
      <c r="E30" s="267" t="s">
        <v>29</v>
      </c>
      <c r="F30" s="268" t="s">
        <v>404</v>
      </c>
      <c r="G30" s="268" t="s">
        <v>110</v>
      </c>
      <c r="H30" s="268" t="s">
        <v>353</v>
      </c>
      <c r="I30" s="267" t="s">
        <v>59</v>
      </c>
      <c r="J30" s="267"/>
      <c r="K30" s="307" t="s">
        <v>526</v>
      </c>
      <c r="L30" s="270" t="s">
        <v>111</v>
      </c>
    </row>
    <row r="31" spans="1:12" ht="16.5" customHeight="1">
      <c r="B31" s="308" t="s">
        <v>216</v>
      </c>
      <c r="C31" s="256" t="s">
        <v>357</v>
      </c>
      <c r="D31" s="257" t="s">
        <v>230</v>
      </c>
      <c r="E31" s="309" t="s">
        <v>26</v>
      </c>
      <c r="F31" s="309" t="s">
        <v>405</v>
      </c>
      <c r="G31" s="309" t="s">
        <v>406</v>
      </c>
      <c r="H31" s="309" t="s">
        <v>373</v>
      </c>
      <c r="I31" s="310" t="s">
        <v>59</v>
      </c>
      <c r="J31" s="310"/>
      <c r="K31" s="258" t="s">
        <v>526</v>
      </c>
      <c r="L31" s="311" t="s">
        <v>219</v>
      </c>
    </row>
    <row r="32" spans="1:12" ht="16.5" customHeight="1">
      <c r="B32" s="312" t="s">
        <v>216</v>
      </c>
      <c r="C32" s="249" t="s">
        <v>217</v>
      </c>
      <c r="D32" s="250" t="s">
        <v>230</v>
      </c>
      <c r="E32" s="313" t="s">
        <v>220</v>
      </c>
      <c r="F32" s="313" t="s">
        <v>358</v>
      </c>
      <c r="G32" s="313" t="s">
        <v>407</v>
      </c>
      <c r="H32" s="313" t="s">
        <v>391</v>
      </c>
      <c r="I32" s="314" t="s">
        <v>59</v>
      </c>
      <c r="J32" s="314"/>
      <c r="K32" s="262" t="s">
        <v>526</v>
      </c>
      <c r="L32" s="315" t="s">
        <v>221</v>
      </c>
    </row>
    <row r="33" spans="1:12" ht="16.5" customHeight="1">
      <c r="A33" s="263">
        <v>9</v>
      </c>
      <c r="B33" s="316" t="s">
        <v>468</v>
      </c>
      <c r="C33" s="265" t="s">
        <v>222</v>
      </c>
      <c r="D33" s="266" t="s">
        <v>132</v>
      </c>
      <c r="E33" s="317" t="s">
        <v>224</v>
      </c>
      <c r="F33" s="317" t="s">
        <v>408</v>
      </c>
      <c r="G33" s="317" t="s">
        <v>409</v>
      </c>
      <c r="H33" s="317" t="s">
        <v>410</v>
      </c>
      <c r="I33" s="318" t="s">
        <v>59</v>
      </c>
      <c r="J33" s="318"/>
      <c r="K33" s="287" t="s">
        <v>661</v>
      </c>
      <c r="L33" s="319" t="s">
        <v>225</v>
      </c>
    </row>
    <row r="34" spans="1:12" ht="16.5" customHeight="1">
      <c r="B34" s="320" t="s">
        <v>468</v>
      </c>
      <c r="C34" s="256" t="s">
        <v>223</v>
      </c>
      <c r="D34" s="257" t="s">
        <v>132</v>
      </c>
      <c r="E34" s="309" t="s">
        <v>137</v>
      </c>
      <c r="F34" s="309" t="s">
        <v>408</v>
      </c>
      <c r="G34" s="309" t="s">
        <v>411</v>
      </c>
      <c r="H34" s="309" t="s">
        <v>377</v>
      </c>
      <c r="I34" s="310" t="s">
        <v>59</v>
      </c>
      <c r="J34" s="310"/>
      <c r="K34" s="258" t="s">
        <v>661</v>
      </c>
      <c r="L34" s="311" t="s">
        <v>133</v>
      </c>
    </row>
    <row r="35" spans="1:12" ht="16.5" customHeight="1">
      <c r="B35" s="320" t="s">
        <v>468</v>
      </c>
      <c r="C35" s="256" t="s">
        <v>142</v>
      </c>
      <c r="D35" s="257" t="s">
        <v>132</v>
      </c>
      <c r="E35" s="321" t="s">
        <v>211</v>
      </c>
      <c r="F35" s="309" t="s">
        <v>408</v>
      </c>
      <c r="G35" s="309" t="s">
        <v>301</v>
      </c>
      <c r="H35" s="322" t="s">
        <v>391</v>
      </c>
      <c r="I35" s="310" t="s">
        <v>59</v>
      </c>
      <c r="J35" s="310"/>
      <c r="K35" s="258" t="s">
        <v>661</v>
      </c>
      <c r="L35" s="323" t="s">
        <v>143</v>
      </c>
    </row>
    <row r="36" spans="1:12" ht="16.5" customHeight="1">
      <c r="B36" s="320" t="s">
        <v>468</v>
      </c>
      <c r="C36" s="256" t="s">
        <v>139</v>
      </c>
      <c r="D36" s="257" t="s">
        <v>134</v>
      </c>
      <c r="E36" s="309" t="s">
        <v>135</v>
      </c>
      <c r="F36" s="309" t="s">
        <v>104</v>
      </c>
      <c r="G36" s="309" t="s">
        <v>387</v>
      </c>
      <c r="H36" s="309" t="s">
        <v>412</v>
      </c>
      <c r="I36" s="310" t="s">
        <v>59</v>
      </c>
      <c r="J36" s="310"/>
      <c r="K36" s="258" t="s">
        <v>661</v>
      </c>
      <c r="L36" s="311" t="s">
        <v>136</v>
      </c>
    </row>
    <row r="37" spans="1:12" ht="16.5" customHeight="1">
      <c r="B37" s="324" t="s">
        <v>468</v>
      </c>
      <c r="C37" s="249" t="s">
        <v>138</v>
      </c>
      <c r="D37" s="250" t="s">
        <v>132</v>
      </c>
      <c r="E37" s="313" t="s">
        <v>413</v>
      </c>
      <c r="F37" s="313" t="s">
        <v>414</v>
      </c>
      <c r="G37" s="313" t="s">
        <v>415</v>
      </c>
      <c r="H37" s="313" t="s">
        <v>416</v>
      </c>
      <c r="I37" s="314" t="s">
        <v>59</v>
      </c>
      <c r="J37" s="314"/>
      <c r="K37" s="262" t="s">
        <v>661</v>
      </c>
      <c r="L37" s="315" t="s">
        <v>417</v>
      </c>
    </row>
    <row r="38" spans="1:12" ht="16.5" customHeight="1">
      <c r="A38" s="263">
        <v>10</v>
      </c>
      <c r="B38" s="325" t="s">
        <v>226</v>
      </c>
      <c r="C38" s="265" t="s">
        <v>227</v>
      </c>
      <c r="D38" s="266" t="s">
        <v>107</v>
      </c>
      <c r="E38" s="317" t="s">
        <v>61</v>
      </c>
      <c r="F38" s="317" t="s">
        <v>288</v>
      </c>
      <c r="G38" s="317" t="s">
        <v>418</v>
      </c>
      <c r="H38" s="317" t="s">
        <v>377</v>
      </c>
      <c r="I38" s="318" t="s">
        <v>59</v>
      </c>
      <c r="J38" s="318"/>
      <c r="K38" s="287" t="s">
        <v>661</v>
      </c>
      <c r="L38" s="319" t="s">
        <v>202</v>
      </c>
    </row>
    <row r="39" spans="1:12" ht="16.5" customHeight="1">
      <c r="B39" s="326" t="s">
        <v>226</v>
      </c>
      <c r="C39" s="256" t="s">
        <v>140</v>
      </c>
      <c r="D39" s="257" t="s">
        <v>107</v>
      </c>
      <c r="E39" s="309" t="s">
        <v>26</v>
      </c>
      <c r="F39" s="309" t="s">
        <v>362</v>
      </c>
      <c r="G39" s="309" t="s">
        <v>418</v>
      </c>
      <c r="H39" s="309" t="s">
        <v>377</v>
      </c>
      <c r="I39" s="310" t="s">
        <v>59</v>
      </c>
      <c r="J39" s="310"/>
      <c r="K39" s="258" t="s">
        <v>661</v>
      </c>
      <c r="L39" s="311" t="s">
        <v>141</v>
      </c>
    </row>
    <row r="40" spans="1:12" ht="16.5" customHeight="1">
      <c r="B40" s="327" t="s">
        <v>226</v>
      </c>
      <c r="C40" s="249" t="s">
        <v>231</v>
      </c>
      <c r="D40" s="250" t="s">
        <v>107</v>
      </c>
      <c r="E40" s="313" t="s">
        <v>27</v>
      </c>
      <c r="F40" s="313" t="s">
        <v>363</v>
      </c>
      <c r="G40" s="313" t="s">
        <v>418</v>
      </c>
      <c r="H40" s="313" t="s">
        <v>391</v>
      </c>
      <c r="I40" s="314" t="s">
        <v>59</v>
      </c>
      <c r="J40" s="314"/>
      <c r="K40" s="262" t="s">
        <v>661</v>
      </c>
      <c r="L40" s="315" t="s">
        <v>232</v>
      </c>
    </row>
    <row r="41" spans="1:12" ht="16.5" customHeight="1">
      <c r="A41" s="263">
        <v>11</v>
      </c>
      <c r="B41" s="328" t="s">
        <v>469</v>
      </c>
      <c r="C41" s="265" t="s">
        <v>233</v>
      </c>
      <c r="D41" s="266" t="s">
        <v>230</v>
      </c>
      <c r="E41" s="317" t="s">
        <v>137</v>
      </c>
      <c r="F41" s="317" t="s">
        <v>359</v>
      </c>
      <c r="G41" s="317" t="s">
        <v>419</v>
      </c>
      <c r="H41" s="317" t="s">
        <v>382</v>
      </c>
      <c r="I41" s="318" t="s">
        <v>59</v>
      </c>
      <c r="J41" s="318"/>
      <c r="K41" s="287" t="s">
        <v>661</v>
      </c>
      <c r="L41" s="319" t="s">
        <v>236</v>
      </c>
    </row>
    <row r="42" spans="1:12" ht="16.5" customHeight="1">
      <c r="B42" s="329" t="s">
        <v>469</v>
      </c>
      <c r="C42" s="256" t="s">
        <v>234</v>
      </c>
      <c r="D42" s="250" t="s">
        <v>230</v>
      </c>
      <c r="E42" s="309" t="s">
        <v>237</v>
      </c>
      <c r="F42" s="309" t="s">
        <v>364</v>
      </c>
      <c r="G42" s="309" t="s">
        <v>420</v>
      </c>
      <c r="H42" s="309" t="s">
        <v>238</v>
      </c>
      <c r="I42" s="310" t="s">
        <v>59</v>
      </c>
      <c r="J42" s="310"/>
      <c r="K42" s="258" t="s">
        <v>661</v>
      </c>
      <c r="L42" s="311" t="s">
        <v>238</v>
      </c>
    </row>
    <row r="43" spans="1:12" ht="16.5" customHeight="1">
      <c r="B43" s="330" t="s">
        <v>469</v>
      </c>
      <c r="C43" s="249" t="s">
        <v>235</v>
      </c>
      <c r="D43" s="250" t="s">
        <v>230</v>
      </c>
      <c r="E43" s="313" t="s">
        <v>130</v>
      </c>
      <c r="F43" s="313" t="s">
        <v>314</v>
      </c>
      <c r="G43" s="313" t="s">
        <v>421</v>
      </c>
      <c r="H43" s="313" t="s">
        <v>382</v>
      </c>
      <c r="I43" s="314" t="s">
        <v>59</v>
      </c>
      <c r="J43" s="314"/>
      <c r="K43" s="258" t="s">
        <v>661</v>
      </c>
      <c r="L43" s="315" t="s">
        <v>98</v>
      </c>
    </row>
    <row r="44" spans="1:12" ht="16.5" customHeight="1">
      <c r="A44" s="263">
        <v>12</v>
      </c>
      <c r="B44" s="331" t="s">
        <v>25</v>
      </c>
      <c r="C44" s="265" t="s">
        <v>102</v>
      </c>
      <c r="D44" s="266" t="s">
        <v>103</v>
      </c>
      <c r="E44" s="318" t="s">
        <v>104</v>
      </c>
      <c r="F44" s="317" t="s">
        <v>365</v>
      </c>
      <c r="G44" s="317" t="s">
        <v>421</v>
      </c>
      <c r="H44" s="317" t="s">
        <v>422</v>
      </c>
      <c r="I44" s="318" t="s">
        <v>59</v>
      </c>
      <c r="J44" s="318"/>
      <c r="K44" s="319" t="s">
        <v>662</v>
      </c>
      <c r="L44" s="319" t="s">
        <v>105</v>
      </c>
    </row>
    <row r="45" spans="1:12" ht="16.5" customHeight="1">
      <c r="B45" s="332" t="s">
        <v>25</v>
      </c>
      <c r="C45" s="256" t="s">
        <v>106</v>
      </c>
      <c r="D45" s="257" t="s">
        <v>107</v>
      </c>
      <c r="E45" s="309" t="s">
        <v>108</v>
      </c>
      <c r="F45" s="309" t="s">
        <v>366</v>
      </c>
      <c r="G45" s="309" t="s">
        <v>423</v>
      </c>
      <c r="H45" s="309" t="s">
        <v>327</v>
      </c>
      <c r="I45" s="310" t="s">
        <v>59</v>
      </c>
      <c r="J45" s="310"/>
      <c r="K45" s="309" t="s">
        <v>662</v>
      </c>
      <c r="L45" s="311" t="s">
        <v>109</v>
      </c>
    </row>
    <row r="46" spans="1:12" ht="16.5" customHeight="1">
      <c r="B46" s="333" t="s">
        <v>25</v>
      </c>
      <c r="C46" s="302" t="s">
        <v>239</v>
      </c>
      <c r="D46" s="303" t="s">
        <v>240</v>
      </c>
      <c r="E46" s="334" t="s">
        <v>27</v>
      </c>
      <c r="F46" s="334" t="s">
        <v>346</v>
      </c>
      <c r="G46" s="334" t="s">
        <v>424</v>
      </c>
      <c r="H46" s="334" t="s">
        <v>398</v>
      </c>
      <c r="I46" s="335" t="s">
        <v>59</v>
      </c>
      <c r="J46" s="335"/>
      <c r="K46" s="336" t="s">
        <v>662</v>
      </c>
      <c r="L46" s="337" t="s">
        <v>241</v>
      </c>
    </row>
    <row r="47" spans="1:12" ht="16.5" customHeight="1">
      <c r="A47" s="263">
        <v>13</v>
      </c>
      <c r="B47" s="338" t="s">
        <v>23</v>
      </c>
      <c r="C47" s="265" t="s">
        <v>89</v>
      </c>
      <c r="D47" s="266" t="s">
        <v>230</v>
      </c>
      <c r="E47" s="318" t="s">
        <v>61</v>
      </c>
      <c r="F47" s="318" t="s">
        <v>367</v>
      </c>
      <c r="G47" s="317" t="s">
        <v>425</v>
      </c>
      <c r="H47" s="317" t="s">
        <v>353</v>
      </c>
      <c r="I47" s="318" t="s">
        <v>59</v>
      </c>
      <c r="J47" s="318"/>
      <c r="K47" s="319" t="s">
        <v>662</v>
      </c>
      <c r="L47" s="319" t="s">
        <v>94</v>
      </c>
    </row>
    <row r="48" spans="1:12" ht="16.5" customHeight="1">
      <c r="A48" s="284"/>
      <c r="B48" s="339" t="s">
        <v>23</v>
      </c>
      <c r="C48" s="285" t="s">
        <v>242</v>
      </c>
      <c r="D48" s="250" t="s">
        <v>230</v>
      </c>
      <c r="E48" s="340" t="s">
        <v>27</v>
      </c>
      <c r="F48" s="340" t="s">
        <v>368</v>
      </c>
      <c r="G48" s="340" t="s">
        <v>387</v>
      </c>
      <c r="H48" s="340" t="s">
        <v>426</v>
      </c>
      <c r="I48" s="341" t="s">
        <v>59</v>
      </c>
      <c r="J48" s="341"/>
      <c r="K48" s="311" t="s">
        <v>662</v>
      </c>
      <c r="L48" s="336" t="s">
        <v>136</v>
      </c>
    </row>
    <row r="49" spans="1:12" ht="16.5" customHeight="1">
      <c r="A49" s="284"/>
      <c r="B49" s="339" t="s">
        <v>23</v>
      </c>
      <c r="C49" s="285" t="s">
        <v>243</v>
      </c>
      <c r="D49" s="250" t="s">
        <v>230</v>
      </c>
      <c r="E49" s="340" t="s">
        <v>26</v>
      </c>
      <c r="F49" s="340" t="s">
        <v>427</v>
      </c>
      <c r="G49" s="340" t="s">
        <v>423</v>
      </c>
      <c r="H49" s="340" t="s">
        <v>257</v>
      </c>
      <c r="I49" s="341" t="s">
        <v>59</v>
      </c>
      <c r="J49" s="341"/>
      <c r="K49" s="311" t="s">
        <v>662</v>
      </c>
      <c r="L49" s="336" t="s">
        <v>247</v>
      </c>
    </row>
    <row r="50" spans="1:12" ht="16.5" customHeight="1">
      <c r="A50" s="284"/>
      <c r="B50" s="339" t="s">
        <v>23</v>
      </c>
      <c r="C50" s="285" t="s">
        <v>244</v>
      </c>
      <c r="D50" s="250" t="s">
        <v>230</v>
      </c>
      <c r="E50" s="340" t="s">
        <v>248</v>
      </c>
      <c r="F50" s="340" t="s">
        <v>368</v>
      </c>
      <c r="G50" s="340" t="s">
        <v>428</v>
      </c>
      <c r="H50" s="340" t="s">
        <v>257</v>
      </c>
      <c r="I50" s="341" t="s">
        <v>59</v>
      </c>
      <c r="J50" s="341"/>
      <c r="K50" s="311" t="s">
        <v>662</v>
      </c>
      <c r="L50" s="336" t="s">
        <v>249</v>
      </c>
    </row>
    <row r="51" spans="1:12" ht="16.5" customHeight="1">
      <c r="B51" s="339" t="s">
        <v>23</v>
      </c>
      <c r="C51" s="256" t="s">
        <v>90</v>
      </c>
      <c r="D51" s="257" t="s">
        <v>107</v>
      </c>
      <c r="E51" s="310" t="s">
        <v>101</v>
      </c>
      <c r="F51" s="309" t="s">
        <v>368</v>
      </c>
      <c r="G51" s="309" t="s">
        <v>429</v>
      </c>
      <c r="H51" s="309" t="s">
        <v>430</v>
      </c>
      <c r="I51" s="310" t="s">
        <v>59</v>
      </c>
      <c r="J51" s="310"/>
      <c r="K51" s="311" t="s">
        <v>662</v>
      </c>
      <c r="L51" s="311" t="s">
        <v>74</v>
      </c>
    </row>
    <row r="52" spans="1:12" ht="16.5" customHeight="1">
      <c r="B52" s="342" t="s">
        <v>23</v>
      </c>
      <c r="C52" s="302" t="s">
        <v>245</v>
      </c>
      <c r="D52" s="303" t="s">
        <v>246</v>
      </c>
      <c r="E52" s="334" t="s">
        <v>250</v>
      </c>
      <c r="F52" s="309" t="s">
        <v>368</v>
      </c>
      <c r="G52" s="334" t="s">
        <v>431</v>
      </c>
      <c r="H52" s="334" t="s">
        <v>432</v>
      </c>
      <c r="I52" s="335" t="s">
        <v>59</v>
      </c>
      <c r="J52" s="335"/>
      <c r="K52" s="311" t="s">
        <v>662</v>
      </c>
      <c r="L52" s="337" t="s">
        <v>251</v>
      </c>
    </row>
    <row r="53" spans="1:12" ht="16.5" customHeight="1">
      <c r="A53" s="263">
        <v>14</v>
      </c>
      <c r="B53" s="343" t="s">
        <v>470</v>
      </c>
      <c r="C53" s="265" t="s">
        <v>252</v>
      </c>
      <c r="D53" s="266" t="s">
        <v>230</v>
      </c>
      <c r="E53" s="317" t="s">
        <v>255</v>
      </c>
      <c r="F53" s="317" t="s">
        <v>256</v>
      </c>
      <c r="G53" s="317" t="s">
        <v>429</v>
      </c>
      <c r="H53" s="317" t="s">
        <v>257</v>
      </c>
      <c r="I53" s="318" t="s">
        <v>59</v>
      </c>
      <c r="J53" s="318"/>
      <c r="K53" s="344" t="s">
        <v>215</v>
      </c>
      <c r="L53" s="319" t="s">
        <v>258</v>
      </c>
    </row>
    <row r="54" spans="1:12" ht="16.5" customHeight="1">
      <c r="B54" s="345" t="s">
        <v>470</v>
      </c>
      <c r="C54" s="285" t="s">
        <v>253</v>
      </c>
      <c r="D54" s="286" t="s">
        <v>107</v>
      </c>
      <c r="E54" s="340" t="s">
        <v>259</v>
      </c>
      <c r="F54" s="340" t="s">
        <v>433</v>
      </c>
      <c r="G54" s="340" t="s">
        <v>428</v>
      </c>
      <c r="H54" s="340" t="s">
        <v>257</v>
      </c>
      <c r="I54" s="341" t="s">
        <v>59</v>
      </c>
      <c r="J54" s="341"/>
      <c r="K54" s="310" t="s">
        <v>215</v>
      </c>
      <c r="L54" s="336" t="s">
        <v>260</v>
      </c>
    </row>
    <row r="55" spans="1:12" ht="16.5" customHeight="1">
      <c r="B55" s="346" t="s">
        <v>470</v>
      </c>
      <c r="C55" s="302" t="s">
        <v>254</v>
      </c>
      <c r="D55" s="303" t="s">
        <v>107</v>
      </c>
      <c r="E55" s="334" t="s">
        <v>261</v>
      </c>
      <c r="F55" s="334" t="s">
        <v>434</v>
      </c>
      <c r="G55" s="334" t="s">
        <v>435</v>
      </c>
      <c r="H55" s="334" t="s">
        <v>436</v>
      </c>
      <c r="I55" s="335" t="s">
        <v>59</v>
      </c>
      <c r="J55" s="335"/>
      <c r="K55" s="347" t="s">
        <v>215</v>
      </c>
      <c r="L55" s="337" t="s">
        <v>262</v>
      </c>
    </row>
    <row r="56" spans="1:12" ht="16.5" customHeight="1">
      <c r="A56" s="263">
        <v>15</v>
      </c>
      <c r="B56" s="348" t="s">
        <v>473</v>
      </c>
      <c r="C56" s="265" t="s">
        <v>437</v>
      </c>
      <c r="D56" s="266" t="s">
        <v>228</v>
      </c>
      <c r="E56" s="317" t="s">
        <v>97</v>
      </c>
      <c r="F56" s="317" t="s">
        <v>438</v>
      </c>
      <c r="G56" s="317" t="s">
        <v>439</v>
      </c>
      <c r="H56" s="317" t="s">
        <v>285</v>
      </c>
      <c r="I56" s="318" t="s">
        <v>59</v>
      </c>
      <c r="J56" s="318"/>
      <c r="K56" s="349" t="s">
        <v>2046</v>
      </c>
      <c r="L56" s="319" t="s">
        <v>144</v>
      </c>
    </row>
    <row r="57" spans="1:12" ht="16.5" customHeight="1">
      <c r="A57" s="284"/>
      <c r="B57" s="350" t="s">
        <v>473</v>
      </c>
      <c r="C57" s="256" t="s">
        <v>145</v>
      </c>
      <c r="D57" s="257" t="s">
        <v>228</v>
      </c>
      <c r="E57" s="309" t="s">
        <v>146</v>
      </c>
      <c r="F57" s="309" t="s">
        <v>440</v>
      </c>
      <c r="G57" s="309" t="s">
        <v>385</v>
      </c>
      <c r="H57" s="309" t="s">
        <v>285</v>
      </c>
      <c r="I57" s="310" t="s">
        <v>59</v>
      </c>
      <c r="J57" s="310"/>
      <c r="K57" s="309" t="s">
        <v>663</v>
      </c>
      <c r="L57" s="311" t="s">
        <v>144</v>
      </c>
    </row>
    <row r="58" spans="1:12" ht="16.5" customHeight="1">
      <c r="B58" s="350" t="s">
        <v>473</v>
      </c>
      <c r="C58" s="256" t="s">
        <v>264</v>
      </c>
      <c r="D58" s="257" t="s">
        <v>228</v>
      </c>
      <c r="E58" s="309" t="s">
        <v>211</v>
      </c>
      <c r="F58" s="309" t="s">
        <v>359</v>
      </c>
      <c r="G58" s="309" t="s">
        <v>441</v>
      </c>
      <c r="H58" s="309" t="s">
        <v>320</v>
      </c>
      <c r="I58" s="310" t="s">
        <v>59</v>
      </c>
      <c r="J58" s="310"/>
      <c r="K58" s="351"/>
      <c r="L58" s="311" t="s">
        <v>360</v>
      </c>
    </row>
    <row r="59" spans="1:12" ht="16.5" customHeight="1">
      <c r="B59" s="350" t="s">
        <v>473</v>
      </c>
      <c r="C59" s="302" t="s">
        <v>263</v>
      </c>
      <c r="D59" s="352" t="s">
        <v>228</v>
      </c>
      <c r="E59" s="334" t="s">
        <v>224</v>
      </c>
      <c r="F59" s="334" t="s">
        <v>361</v>
      </c>
      <c r="G59" s="334" t="s">
        <v>442</v>
      </c>
      <c r="H59" s="334" t="s">
        <v>285</v>
      </c>
      <c r="I59" s="335" t="s">
        <v>59</v>
      </c>
      <c r="J59" s="335"/>
      <c r="K59" s="337" t="s">
        <v>660</v>
      </c>
      <c r="L59" s="337" t="s">
        <v>202</v>
      </c>
    </row>
    <row r="60" spans="1:12" ht="16.5" customHeight="1">
      <c r="A60" s="263">
        <v>16</v>
      </c>
      <c r="B60" s="353" t="s">
        <v>471</v>
      </c>
      <c r="C60" s="265" t="s">
        <v>265</v>
      </c>
      <c r="D60" s="266" t="s">
        <v>474</v>
      </c>
      <c r="E60" s="317" t="s">
        <v>224</v>
      </c>
      <c r="F60" s="317" t="s">
        <v>282</v>
      </c>
      <c r="G60" s="317" t="s">
        <v>439</v>
      </c>
      <c r="H60" s="317" t="s">
        <v>373</v>
      </c>
      <c r="I60" s="318" t="s">
        <v>59</v>
      </c>
      <c r="J60" s="318"/>
      <c r="K60" s="349" t="s">
        <v>664</v>
      </c>
      <c r="L60" s="319" t="s">
        <v>215</v>
      </c>
    </row>
    <row r="61" spans="1:12" ht="16.5" customHeight="1">
      <c r="B61" s="354" t="s">
        <v>471</v>
      </c>
      <c r="C61" s="285" t="s">
        <v>644</v>
      </c>
      <c r="D61" s="286" t="s">
        <v>474</v>
      </c>
      <c r="E61" s="340" t="s">
        <v>42</v>
      </c>
      <c r="F61" s="340" t="s">
        <v>645</v>
      </c>
      <c r="G61" s="340" t="s">
        <v>646</v>
      </c>
      <c r="H61" s="340" t="s">
        <v>647</v>
      </c>
      <c r="I61" s="341" t="s">
        <v>59</v>
      </c>
      <c r="J61" s="341"/>
      <c r="K61" s="309" t="s">
        <v>664</v>
      </c>
      <c r="L61" s="336" t="s">
        <v>286</v>
      </c>
    </row>
    <row r="62" spans="1:12" ht="16.5" customHeight="1">
      <c r="B62" s="354" t="s">
        <v>471</v>
      </c>
      <c r="C62" s="285" t="s">
        <v>266</v>
      </c>
      <c r="D62" s="286" t="s">
        <v>474</v>
      </c>
      <c r="E62" s="340" t="s">
        <v>287</v>
      </c>
      <c r="F62" s="340" t="s">
        <v>288</v>
      </c>
      <c r="G62" s="340" t="s">
        <v>423</v>
      </c>
      <c r="H62" s="340" t="s">
        <v>289</v>
      </c>
      <c r="I62" s="341" t="s">
        <v>59</v>
      </c>
      <c r="J62" s="341"/>
      <c r="K62" s="309" t="s">
        <v>664</v>
      </c>
      <c r="L62" s="336" t="s">
        <v>74</v>
      </c>
    </row>
    <row r="63" spans="1:12" ht="16.5" customHeight="1">
      <c r="B63" s="355" t="s">
        <v>471</v>
      </c>
      <c r="C63" s="285" t="s">
        <v>267</v>
      </c>
      <c r="D63" s="286" t="s">
        <v>474</v>
      </c>
      <c r="E63" s="340" t="s">
        <v>119</v>
      </c>
      <c r="F63" s="340" t="s">
        <v>290</v>
      </c>
      <c r="G63" s="340" t="s">
        <v>291</v>
      </c>
      <c r="H63" s="340" t="s">
        <v>443</v>
      </c>
      <c r="I63" s="341" t="s">
        <v>59</v>
      </c>
      <c r="J63" s="341"/>
      <c r="K63" s="336" t="s">
        <v>664</v>
      </c>
      <c r="L63" s="336" t="s">
        <v>292</v>
      </c>
    </row>
    <row r="64" spans="1:12" ht="16.5" customHeight="1">
      <c r="A64" s="263">
        <v>17</v>
      </c>
      <c r="B64" s="356" t="s">
        <v>268</v>
      </c>
      <c r="C64" s="265" t="s">
        <v>269</v>
      </c>
      <c r="D64" s="266" t="s">
        <v>228</v>
      </c>
      <c r="E64" s="317" t="s">
        <v>293</v>
      </c>
      <c r="F64" s="317" t="s">
        <v>136</v>
      </c>
      <c r="G64" s="317" t="s">
        <v>294</v>
      </c>
      <c r="H64" s="317" t="s">
        <v>295</v>
      </c>
      <c r="I64" s="317" t="s">
        <v>59</v>
      </c>
      <c r="J64" s="318"/>
      <c r="K64" s="319" t="s">
        <v>665</v>
      </c>
      <c r="L64" s="319" t="s">
        <v>296</v>
      </c>
    </row>
    <row r="65" spans="1:12" ht="16.5" customHeight="1">
      <c r="A65" s="284"/>
      <c r="B65" s="357" t="s">
        <v>268</v>
      </c>
      <c r="C65" s="285" t="s">
        <v>270</v>
      </c>
      <c r="D65" s="286" t="s">
        <v>475</v>
      </c>
      <c r="E65" s="340" t="s">
        <v>137</v>
      </c>
      <c r="F65" s="340" t="s">
        <v>297</v>
      </c>
      <c r="G65" s="340" t="s">
        <v>298</v>
      </c>
      <c r="H65" s="340" t="s">
        <v>289</v>
      </c>
      <c r="I65" s="341" t="s">
        <v>59</v>
      </c>
      <c r="J65" s="341"/>
      <c r="K65" s="347"/>
      <c r="L65" s="336" t="s">
        <v>299</v>
      </c>
    </row>
    <row r="66" spans="1:12" ht="16.5" customHeight="1">
      <c r="A66" s="284"/>
      <c r="B66" s="357" t="s">
        <v>268</v>
      </c>
      <c r="C66" s="285" t="s">
        <v>271</v>
      </c>
      <c r="D66" s="286" t="s">
        <v>475</v>
      </c>
      <c r="E66" s="340" t="s">
        <v>32</v>
      </c>
      <c r="F66" s="340" t="s">
        <v>303</v>
      </c>
      <c r="G66" s="340" t="s">
        <v>146</v>
      </c>
      <c r="H66" s="340" t="s">
        <v>373</v>
      </c>
      <c r="I66" s="341" t="s">
        <v>59</v>
      </c>
      <c r="J66" s="341"/>
      <c r="K66" s="347"/>
      <c r="L66" s="336" t="s">
        <v>282</v>
      </c>
    </row>
    <row r="67" spans="1:12" ht="16.5" customHeight="1">
      <c r="A67" s="284"/>
      <c r="B67" s="357" t="s">
        <v>268</v>
      </c>
      <c r="C67" s="285" t="s">
        <v>445</v>
      </c>
      <c r="D67" s="286" t="s">
        <v>475</v>
      </c>
      <c r="E67" s="340" t="s">
        <v>444</v>
      </c>
      <c r="F67" s="340" t="s">
        <v>300</v>
      </c>
      <c r="G67" s="340" t="s">
        <v>301</v>
      </c>
      <c r="H67" s="340" t="s">
        <v>302</v>
      </c>
      <c r="I67" s="341" t="s">
        <v>59</v>
      </c>
      <c r="J67" s="341"/>
      <c r="K67" s="336" t="s">
        <v>286</v>
      </c>
      <c r="L67" s="336" t="s">
        <v>304</v>
      </c>
    </row>
    <row r="68" spans="1:12" ht="16.5" customHeight="1">
      <c r="A68" s="284"/>
      <c r="B68" s="357" t="s">
        <v>268</v>
      </c>
      <c r="C68" s="285" t="s">
        <v>272</v>
      </c>
      <c r="D68" s="286" t="s">
        <v>475</v>
      </c>
      <c r="E68" s="340" t="s">
        <v>444</v>
      </c>
      <c r="F68" s="340" t="s">
        <v>300</v>
      </c>
      <c r="G68" s="340" t="s">
        <v>305</v>
      </c>
      <c r="H68" s="340" t="s">
        <v>446</v>
      </c>
      <c r="I68" s="341" t="s">
        <v>59</v>
      </c>
      <c r="J68" s="341"/>
      <c r="K68" s="347"/>
      <c r="L68" s="336" t="s">
        <v>306</v>
      </c>
    </row>
    <row r="69" spans="1:12" ht="16.5" customHeight="1">
      <c r="B69" s="358" t="s">
        <v>268</v>
      </c>
      <c r="C69" s="302" t="s">
        <v>273</v>
      </c>
      <c r="D69" s="286" t="s">
        <v>475</v>
      </c>
      <c r="E69" s="340" t="s">
        <v>444</v>
      </c>
      <c r="F69" s="334" t="s">
        <v>300</v>
      </c>
      <c r="G69" s="334" t="s">
        <v>305</v>
      </c>
      <c r="H69" s="334" t="s">
        <v>307</v>
      </c>
      <c r="I69" s="335" t="s">
        <v>59</v>
      </c>
      <c r="J69" s="335"/>
      <c r="K69" s="337" t="s">
        <v>321</v>
      </c>
      <c r="L69" s="337" t="s">
        <v>74</v>
      </c>
    </row>
    <row r="70" spans="1:12" ht="16.5" customHeight="1">
      <c r="A70" s="263">
        <v>18</v>
      </c>
      <c r="B70" s="359" t="s">
        <v>472</v>
      </c>
      <c r="C70" s="265" t="s">
        <v>274</v>
      </c>
      <c r="D70" s="266" t="s">
        <v>475</v>
      </c>
      <c r="E70" s="360" t="s">
        <v>211</v>
      </c>
      <c r="F70" s="317" t="s">
        <v>308</v>
      </c>
      <c r="G70" s="317" t="s">
        <v>447</v>
      </c>
      <c r="H70" s="317" t="s">
        <v>448</v>
      </c>
      <c r="I70" s="318" t="s">
        <v>59</v>
      </c>
      <c r="J70" s="318"/>
      <c r="K70" s="319" t="s">
        <v>664</v>
      </c>
      <c r="L70" s="319" t="s">
        <v>309</v>
      </c>
    </row>
    <row r="71" spans="1:12" ht="16.5" customHeight="1">
      <c r="B71" s="361" t="s">
        <v>472</v>
      </c>
      <c r="C71" s="285" t="s">
        <v>91</v>
      </c>
      <c r="D71" s="286" t="s">
        <v>475</v>
      </c>
      <c r="E71" s="341" t="s">
        <v>31</v>
      </c>
      <c r="F71" s="340" t="s">
        <v>362</v>
      </c>
      <c r="G71" s="341" t="s">
        <v>447</v>
      </c>
      <c r="H71" s="340" t="s">
        <v>448</v>
      </c>
      <c r="I71" s="341" t="s">
        <v>59</v>
      </c>
      <c r="J71" s="341"/>
      <c r="K71" s="336" t="s">
        <v>215</v>
      </c>
      <c r="L71" s="336" t="s">
        <v>93</v>
      </c>
    </row>
    <row r="72" spans="1:12" ht="16.5" customHeight="1">
      <c r="B72" s="361" t="s">
        <v>472</v>
      </c>
      <c r="C72" s="256" t="s">
        <v>92</v>
      </c>
      <c r="D72" s="286" t="s">
        <v>475</v>
      </c>
      <c r="E72" s="321" t="s">
        <v>27</v>
      </c>
      <c r="F72" s="309" t="s">
        <v>352</v>
      </c>
      <c r="G72" s="309" t="s">
        <v>449</v>
      </c>
      <c r="H72" s="309" t="s">
        <v>422</v>
      </c>
      <c r="I72" s="310" t="s">
        <v>59</v>
      </c>
      <c r="J72" s="310"/>
      <c r="K72" s="351"/>
      <c r="L72" s="311" t="s">
        <v>95</v>
      </c>
    </row>
    <row r="73" spans="1:12" ht="16.5" customHeight="1">
      <c r="B73" s="361" t="s">
        <v>472</v>
      </c>
      <c r="C73" s="285" t="s">
        <v>450</v>
      </c>
      <c r="D73" s="286" t="s">
        <v>475</v>
      </c>
      <c r="E73" s="362" t="s">
        <v>451</v>
      </c>
      <c r="F73" s="340" t="s">
        <v>311</v>
      </c>
      <c r="G73" s="340" t="s">
        <v>452</v>
      </c>
      <c r="H73" s="340" t="s">
        <v>312</v>
      </c>
      <c r="I73" s="341" t="s">
        <v>59</v>
      </c>
      <c r="J73" s="341"/>
      <c r="K73" s="347"/>
      <c r="L73" s="336" t="s">
        <v>313</v>
      </c>
    </row>
    <row r="74" spans="1:12" ht="16.5" customHeight="1">
      <c r="B74" s="363" t="s">
        <v>472</v>
      </c>
      <c r="C74" s="302" t="s">
        <v>275</v>
      </c>
      <c r="D74" s="286" t="s">
        <v>475</v>
      </c>
      <c r="E74" s="364" t="s">
        <v>287</v>
      </c>
      <c r="F74" s="334" t="s">
        <v>314</v>
      </c>
      <c r="G74" s="334" t="s">
        <v>453</v>
      </c>
      <c r="H74" s="334" t="s">
        <v>315</v>
      </c>
      <c r="I74" s="335" t="s">
        <v>59</v>
      </c>
      <c r="J74" s="335"/>
      <c r="K74" s="365"/>
      <c r="L74" s="337" t="s">
        <v>316</v>
      </c>
    </row>
    <row r="75" spans="1:12" ht="16.5" customHeight="1">
      <c r="A75" s="263">
        <v>19</v>
      </c>
      <c r="B75" s="366" t="s">
        <v>276</v>
      </c>
      <c r="C75" s="265" t="s">
        <v>277</v>
      </c>
      <c r="D75" s="266" t="s">
        <v>230</v>
      </c>
      <c r="E75" s="360" t="s">
        <v>317</v>
      </c>
      <c r="F75" s="317" t="s">
        <v>318</v>
      </c>
      <c r="G75" s="317" t="s">
        <v>454</v>
      </c>
      <c r="H75" s="317" t="s">
        <v>320</v>
      </c>
      <c r="I75" s="318" t="s">
        <v>59</v>
      </c>
      <c r="J75" s="318"/>
      <c r="K75" s="367">
        <v>3.5</v>
      </c>
      <c r="L75" s="319" t="s">
        <v>321</v>
      </c>
    </row>
    <row r="76" spans="1:12" ht="16.5" customHeight="1">
      <c r="B76" s="368" t="s">
        <v>276</v>
      </c>
      <c r="C76" s="285" t="s">
        <v>278</v>
      </c>
      <c r="D76" s="286" t="s">
        <v>230</v>
      </c>
      <c r="E76" s="362" t="s">
        <v>322</v>
      </c>
      <c r="F76" s="340" t="s">
        <v>323</v>
      </c>
      <c r="G76" s="340" t="s">
        <v>319</v>
      </c>
      <c r="H76" s="340" t="s">
        <v>432</v>
      </c>
      <c r="I76" s="341" t="s">
        <v>59</v>
      </c>
      <c r="J76" s="341"/>
      <c r="K76" s="347"/>
      <c r="L76" s="336" t="s">
        <v>251</v>
      </c>
    </row>
    <row r="77" spans="1:12" ht="16.5" customHeight="1">
      <c r="B77" s="369" t="s">
        <v>276</v>
      </c>
      <c r="C77" s="285" t="s">
        <v>279</v>
      </c>
      <c r="D77" s="286" t="s">
        <v>107</v>
      </c>
      <c r="E77" s="362" t="s">
        <v>324</v>
      </c>
      <c r="F77" s="340" t="s">
        <v>325</v>
      </c>
      <c r="G77" s="340" t="s">
        <v>319</v>
      </c>
      <c r="H77" s="340" t="s">
        <v>455</v>
      </c>
      <c r="I77" s="341" t="s">
        <v>59</v>
      </c>
      <c r="J77" s="341"/>
      <c r="K77" s="347"/>
      <c r="L77" s="336" t="s">
        <v>251</v>
      </c>
    </row>
    <row r="78" spans="1:12" ht="16.5" customHeight="1">
      <c r="A78" s="263">
        <v>22</v>
      </c>
      <c r="B78" s="370" t="s">
        <v>280</v>
      </c>
      <c r="C78" s="265" t="s">
        <v>281</v>
      </c>
      <c r="D78" s="266" t="s">
        <v>228</v>
      </c>
      <c r="E78" s="317" t="s">
        <v>130</v>
      </c>
      <c r="F78" s="317" t="s">
        <v>314</v>
      </c>
      <c r="G78" s="317" t="s">
        <v>456</v>
      </c>
      <c r="H78" s="317" t="s">
        <v>327</v>
      </c>
      <c r="I78" s="318" t="s">
        <v>59</v>
      </c>
      <c r="J78" s="318"/>
      <c r="K78" s="319" t="s">
        <v>658</v>
      </c>
      <c r="L78" s="319" t="s">
        <v>122</v>
      </c>
    </row>
    <row r="79" spans="1:12" ht="16.5" customHeight="1">
      <c r="B79" s="371"/>
      <c r="C79" s="256"/>
      <c r="D79" s="257"/>
      <c r="E79" s="309"/>
      <c r="F79" s="309"/>
      <c r="G79" s="309"/>
      <c r="H79" s="309"/>
      <c r="I79" s="310"/>
      <c r="J79" s="310"/>
      <c r="K79" s="351"/>
      <c r="L79" s="311"/>
    </row>
    <row r="81" spans="5:5" ht="12.75" customHeight="1"/>
    <row r="82" spans="5:5" ht="12.75" customHeight="1">
      <c r="E82" s="1" t="s">
        <v>64</v>
      </c>
    </row>
    <row r="83" spans="5:5" ht="12.75" customHeight="1"/>
    <row r="84" spans="5:5" ht="12.75" customHeight="1"/>
    <row r="85" spans="5:5" ht="12.75" customHeight="1"/>
    <row r="86" spans="5:5" ht="12.75" customHeight="1"/>
    <row r="87" spans="5:5" ht="12.75" customHeight="1"/>
    <row r="88" spans="5:5" ht="12.75" customHeight="1"/>
    <row r="89" spans="5:5" ht="12.75" customHeight="1"/>
    <row r="90" spans="5:5" ht="12.75" customHeight="1"/>
    <row r="91" spans="5:5" ht="12.75" customHeight="1"/>
    <row r="92" spans="5:5" ht="12.75" customHeight="1"/>
    <row r="93" spans="5:5" ht="12.75" customHeight="1"/>
    <row r="94" spans="5:5" ht="12.75" customHeight="1"/>
    <row r="95" spans="5:5" ht="12.75" customHeight="1"/>
    <row r="96" spans="5:5"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pageMargins left="0.70866141732283472" right="0.31496062992125984" top="0.39370078740157483" bottom="0.39370078740157483" header="0.31496062992125984" footer="0.31496062992125984"/>
  <pageSetup paperSize="9" scale="50" orientation="portrait" r:id="rId1"/>
  <ignoredErrors>
    <ignoredError sqref="F22" twoDigitTextYear="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FDE555"/>
  </sheetPr>
  <dimension ref="A1:H79"/>
  <sheetViews>
    <sheetView showGridLines="0" topLeftCell="A10" zoomScaleNormal="100" workbookViewId="0">
      <selection activeCell="J40" sqref="J40"/>
    </sheetView>
  </sheetViews>
  <sheetFormatPr baseColWidth="10" defaultColWidth="11.42578125" defaultRowHeight="15"/>
  <cols>
    <col min="1" max="1" width="25.140625" style="6" customWidth="1"/>
    <col min="2" max="5" width="13.42578125" style="6" customWidth="1"/>
    <col min="6" max="6" width="11.42578125" style="14"/>
    <col min="7" max="7" width="44.42578125" style="6" customWidth="1"/>
    <col min="8" max="8" width="11.42578125" style="394"/>
    <col min="9" max="16384" width="11.42578125" style="6"/>
  </cols>
  <sheetData>
    <row r="1" spans="1:8" ht="18.75">
      <c r="A1" s="412" t="s">
        <v>189</v>
      </c>
      <c r="B1" s="422"/>
      <c r="C1" s="422"/>
      <c r="D1" s="422"/>
      <c r="E1" s="422"/>
      <c r="F1" s="423"/>
      <c r="G1" s="422"/>
    </row>
    <row r="2" spans="1:8" ht="18.75">
      <c r="A2" s="412"/>
      <c r="B2" s="422"/>
      <c r="C2" s="422"/>
      <c r="D2" s="422"/>
      <c r="E2" s="422"/>
      <c r="F2" s="423"/>
      <c r="G2" s="422"/>
    </row>
    <row r="3" spans="1:8">
      <c r="A3" s="495"/>
      <c r="B3" s="495"/>
      <c r="C3" s="495"/>
      <c r="D3" s="495"/>
      <c r="E3" s="495"/>
      <c r="F3" s="496"/>
      <c r="G3" s="495"/>
      <c r="H3" s="489"/>
    </row>
    <row r="4" spans="1:8">
      <c r="A4" s="467" t="s">
        <v>0</v>
      </c>
      <c r="B4" s="467" t="s">
        <v>608</v>
      </c>
      <c r="C4" s="497"/>
      <c r="D4" s="497"/>
      <c r="E4" s="497"/>
      <c r="F4" s="465"/>
      <c r="G4" s="497"/>
      <c r="H4" s="489"/>
    </row>
    <row r="5" spans="1:8" s="15" customFormat="1" ht="30">
      <c r="A5" s="503" t="s">
        <v>1</v>
      </c>
      <c r="B5" s="498" t="s">
        <v>33</v>
      </c>
      <c r="C5" s="493" t="s">
        <v>18</v>
      </c>
      <c r="D5" s="493" t="s">
        <v>499</v>
      </c>
      <c r="E5" s="493" t="s">
        <v>498</v>
      </c>
      <c r="F5" s="493" t="s">
        <v>538</v>
      </c>
      <c r="G5" s="494" t="s">
        <v>684</v>
      </c>
      <c r="H5" s="488" t="s">
        <v>685</v>
      </c>
    </row>
    <row r="6" spans="1:8">
      <c r="A6" s="504"/>
      <c r="B6" s="499" t="s">
        <v>5</v>
      </c>
      <c r="C6" s="490" t="s">
        <v>6</v>
      </c>
      <c r="D6" s="490" t="s">
        <v>19</v>
      </c>
      <c r="E6" s="490" t="s">
        <v>19</v>
      </c>
      <c r="F6" s="491" t="s">
        <v>14</v>
      </c>
      <c r="G6" s="492"/>
      <c r="H6" s="489"/>
    </row>
    <row r="7" spans="1:8" s="1" customFormat="1" ht="12.75">
      <c r="A7" s="505"/>
      <c r="B7" s="500"/>
      <c r="C7" s="482"/>
      <c r="D7" s="482"/>
      <c r="E7" s="482"/>
      <c r="F7" s="483"/>
      <c r="G7" s="484"/>
      <c r="H7" s="481">
        <v>2</v>
      </c>
    </row>
    <row r="8" spans="1:8" s="1" customFormat="1" ht="12.75">
      <c r="A8" s="479" t="s">
        <v>680</v>
      </c>
      <c r="B8" s="501"/>
      <c r="C8" s="509" t="s">
        <v>1658</v>
      </c>
      <c r="D8" s="473"/>
      <c r="E8" s="509" t="s">
        <v>1658</v>
      </c>
      <c r="F8" s="473"/>
      <c r="G8" s="485"/>
      <c r="H8" s="481">
        <v>1</v>
      </c>
    </row>
    <row r="9" spans="1:8" s="1" customFormat="1" ht="12.75">
      <c r="A9" s="480" t="s">
        <v>150</v>
      </c>
      <c r="B9" s="502" t="s">
        <v>177</v>
      </c>
      <c r="C9" s="509">
        <v>830</v>
      </c>
      <c r="D9" s="486" t="s">
        <v>39</v>
      </c>
      <c r="E9" s="509">
        <v>4</v>
      </c>
      <c r="F9" s="486" t="s">
        <v>510</v>
      </c>
      <c r="G9" s="485"/>
      <c r="H9" s="481">
        <v>1</v>
      </c>
    </row>
    <row r="10" spans="1:8" s="1" customFormat="1" ht="12.75">
      <c r="A10" s="480" t="s">
        <v>2</v>
      </c>
      <c r="B10" s="501" t="s">
        <v>8</v>
      </c>
      <c r="C10" s="509">
        <v>830</v>
      </c>
      <c r="D10" s="487" t="s">
        <v>505</v>
      </c>
      <c r="E10" s="509">
        <v>3</v>
      </c>
      <c r="F10" s="486" t="s">
        <v>510</v>
      </c>
      <c r="G10" s="485"/>
      <c r="H10" s="481">
        <v>1</v>
      </c>
    </row>
    <row r="11" spans="1:8" s="1" customFormat="1" ht="12.75">
      <c r="A11" s="480" t="s">
        <v>43</v>
      </c>
      <c r="B11" s="501">
        <v>80.5</v>
      </c>
      <c r="C11" s="509">
        <v>805</v>
      </c>
      <c r="D11" s="486" t="s">
        <v>44</v>
      </c>
      <c r="E11" s="509">
        <v>2.5</v>
      </c>
      <c r="F11" s="486" t="s">
        <v>510</v>
      </c>
      <c r="G11" s="485"/>
      <c r="H11" s="481">
        <v>1</v>
      </c>
    </row>
    <row r="12" spans="1:8" s="1" customFormat="1" ht="12.75">
      <c r="A12" s="480" t="s">
        <v>7</v>
      </c>
      <c r="B12" s="501" t="s">
        <v>9</v>
      </c>
      <c r="C12" s="509">
        <v>815</v>
      </c>
      <c r="D12" s="486" t="s">
        <v>41</v>
      </c>
      <c r="E12" s="509">
        <v>8</v>
      </c>
      <c r="F12" s="486" t="s">
        <v>510</v>
      </c>
      <c r="G12" s="485" t="s">
        <v>688</v>
      </c>
      <c r="H12" s="481">
        <v>1</v>
      </c>
    </row>
    <row r="13" spans="1:8" s="1" customFormat="1" ht="12.75">
      <c r="A13" s="480" t="s">
        <v>3</v>
      </c>
      <c r="B13" s="501" t="s">
        <v>10</v>
      </c>
      <c r="C13" s="509">
        <v>810</v>
      </c>
      <c r="D13" s="486" t="s">
        <v>40</v>
      </c>
      <c r="E13" s="509">
        <v>14</v>
      </c>
      <c r="F13" s="486" t="s">
        <v>510</v>
      </c>
      <c r="G13" s="485" t="s">
        <v>689</v>
      </c>
      <c r="H13" s="481">
        <v>8</v>
      </c>
    </row>
    <row r="14" spans="1:8" s="1" customFormat="1" ht="12.75">
      <c r="A14" s="480" t="s">
        <v>87</v>
      </c>
      <c r="B14" s="501" t="s">
        <v>10</v>
      </c>
      <c r="C14" s="509">
        <v>810</v>
      </c>
      <c r="D14" s="486" t="s">
        <v>154</v>
      </c>
      <c r="E14" s="509">
        <v>22</v>
      </c>
      <c r="F14" s="486" t="s">
        <v>510</v>
      </c>
      <c r="G14" s="485" t="s">
        <v>690</v>
      </c>
      <c r="H14" s="481"/>
    </row>
    <row r="15" spans="1:8" s="1" customFormat="1" ht="12.75">
      <c r="A15" s="480" t="s">
        <v>152</v>
      </c>
      <c r="B15" s="501">
        <v>80.5</v>
      </c>
      <c r="C15" s="509">
        <v>805</v>
      </c>
      <c r="D15" s="486" t="s">
        <v>153</v>
      </c>
      <c r="E15" s="509">
        <v>6.5</v>
      </c>
      <c r="F15" s="486" t="s">
        <v>510</v>
      </c>
      <c r="G15" s="485"/>
      <c r="H15" s="481"/>
    </row>
    <row r="16" spans="1:8" s="1" customFormat="1" ht="12.75">
      <c r="A16" s="480" t="s">
        <v>149</v>
      </c>
      <c r="B16" s="501">
        <v>82.5</v>
      </c>
      <c r="C16" s="509">
        <v>825</v>
      </c>
      <c r="D16" s="486" t="s">
        <v>151</v>
      </c>
      <c r="E16" s="509">
        <v>5</v>
      </c>
      <c r="F16" s="486" t="s">
        <v>510</v>
      </c>
      <c r="G16" s="485"/>
      <c r="H16" s="481"/>
    </row>
    <row r="17" spans="1:8" s="1" customFormat="1" ht="12.75">
      <c r="A17" s="480" t="s">
        <v>34</v>
      </c>
      <c r="B17" s="501">
        <v>80</v>
      </c>
      <c r="C17" s="509">
        <v>800</v>
      </c>
      <c r="D17" s="473">
        <v>6</v>
      </c>
      <c r="E17" s="509">
        <v>6</v>
      </c>
      <c r="F17" s="486" t="s">
        <v>510</v>
      </c>
      <c r="G17" s="485"/>
      <c r="H17" s="481"/>
    </row>
    <row r="18" spans="1:8" s="1" customFormat="1" ht="12.75">
      <c r="A18" s="480" t="s">
        <v>512</v>
      </c>
      <c r="B18" s="501">
        <v>81</v>
      </c>
      <c r="C18" s="509">
        <v>810</v>
      </c>
      <c r="D18" s="486" t="s">
        <v>340</v>
      </c>
      <c r="E18" s="509">
        <v>7</v>
      </c>
      <c r="F18" s="486" t="s">
        <v>511</v>
      </c>
      <c r="G18" s="485"/>
      <c r="H18" s="481"/>
    </row>
    <row r="19" spans="1:8" s="1" customFormat="1" ht="12.75">
      <c r="A19" s="480"/>
      <c r="B19" s="501"/>
      <c r="C19" s="509"/>
      <c r="D19" s="486"/>
      <c r="E19" s="509"/>
      <c r="F19" s="486"/>
      <c r="G19" s="485"/>
      <c r="H19" s="481"/>
    </row>
    <row r="20" spans="1:8" s="1" customFormat="1" ht="12.75">
      <c r="A20" s="480"/>
      <c r="B20" s="501"/>
      <c r="C20" s="509"/>
      <c r="D20" s="486"/>
      <c r="E20" s="509"/>
      <c r="F20" s="486"/>
      <c r="G20" s="485"/>
      <c r="H20" s="481"/>
    </row>
    <row r="21" spans="1:8" s="1" customFormat="1" ht="12.75">
      <c r="A21" s="479" t="s">
        <v>681</v>
      </c>
      <c r="B21" s="501"/>
      <c r="C21" s="509"/>
      <c r="D21" s="486"/>
      <c r="E21" s="509"/>
      <c r="F21" s="473"/>
      <c r="G21" s="485"/>
      <c r="H21" s="481"/>
    </row>
    <row r="22" spans="1:8" s="1" customFormat="1" ht="12.75">
      <c r="A22" s="480" t="s">
        <v>38</v>
      </c>
      <c r="B22" s="501" t="s">
        <v>12</v>
      </c>
      <c r="C22" s="509">
        <v>840</v>
      </c>
      <c r="D22" s="486" t="s">
        <v>526</v>
      </c>
      <c r="E22" s="509">
        <v>4</v>
      </c>
      <c r="F22" s="486" t="s">
        <v>503</v>
      </c>
      <c r="G22" s="485"/>
      <c r="H22" s="481"/>
    </row>
    <row r="23" spans="1:8" s="1" customFormat="1" ht="12.75">
      <c r="A23" s="480" t="s">
        <v>36</v>
      </c>
      <c r="B23" s="501">
        <v>82</v>
      </c>
      <c r="C23" s="509">
        <v>820</v>
      </c>
      <c r="D23" s="486" t="s">
        <v>527</v>
      </c>
      <c r="E23" s="509">
        <v>16</v>
      </c>
      <c r="F23" s="486" t="s">
        <v>502</v>
      </c>
      <c r="G23" s="485"/>
      <c r="H23" s="481"/>
    </row>
    <row r="24" spans="1:8" s="1" customFormat="1" ht="12.75">
      <c r="A24" s="480" t="s">
        <v>65</v>
      </c>
      <c r="B24" s="501"/>
      <c r="C24" s="509">
        <v>1033</v>
      </c>
      <c r="D24" s="486" t="s">
        <v>525</v>
      </c>
      <c r="E24" s="509">
        <v>115</v>
      </c>
      <c r="F24" s="486" t="s">
        <v>500</v>
      </c>
      <c r="G24" s="485"/>
      <c r="H24" s="481"/>
    </row>
    <row r="25" spans="1:8" s="1" customFormat="1" ht="12.75">
      <c r="A25" s="480" t="s">
        <v>164</v>
      </c>
      <c r="B25" s="501">
        <v>81</v>
      </c>
      <c r="C25" s="509">
        <v>810</v>
      </c>
      <c r="D25" s="486" t="s">
        <v>526</v>
      </c>
      <c r="E25" s="509">
        <v>4</v>
      </c>
      <c r="F25" s="486" t="s">
        <v>502</v>
      </c>
      <c r="G25" s="485"/>
      <c r="H25" s="481"/>
    </row>
    <row r="26" spans="1:8" s="1" customFormat="1" ht="12.75">
      <c r="A26" s="480"/>
      <c r="B26" s="501"/>
      <c r="C26" s="509"/>
      <c r="D26" s="486"/>
      <c r="E26" s="509"/>
      <c r="F26" s="486"/>
      <c r="G26" s="485"/>
      <c r="H26" s="481"/>
    </row>
    <row r="27" spans="1:8" s="1" customFormat="1" ht="12.75">
      <c r="A27" s="479" t="s">
        <v>679</v>
      </c>
      <c r="B27" s="501"/>
      <c r="C27" s="509"/>
      <c r="D27" s="486"/>
      <c r="E27" s="509"/>
      <c r="F27" s="486"/>
      <c r="G27" s="485"/>
      <c r="H27" s="481">
        <v>1</v>
      </c>
    </row>
    <row r="28" spans="1:8" s="1" customFormat="1" ht="12.75">
      <c r="A28" s="480" t="s">
        <v>476</v>
      </c>
      <c r="B28" s="501"/>
      <c r="C28" s="509">
        <v>1035</v>
      </c>
      <c r="D28" s="486" t="s">
        <v>506</v>
      </c>
      <c r="E28" s="509">
        <v>40</v>
      </c>
      <c r="F28" s="486" t="s">
        <v>507</v>
      </c>
      <c r="G28" s="485" t="s">
        <v>692</v>
      </c>
      <c r="H28" s="481">
        <v>1</v>
      </c>
    </row>
    <row r="29" spans="1:8" s="1" customFormat="1" ht="12.75">
      <c r="A29" s="480" t="s">
        <v>155</v>
      </c>
      <c r="B29" s="501" t="s">
        <v>11</v>
      </c>
      <c r="C29" s="509">
        <v>780</v>
      </c>
      <c r="D29" s="473" t="s">
        <v>42</v>
      </c>
      <c r="E29" s="509">
        <v>25</v>
      </c>
      <c r="F29" s="486" t="s">
        <v>500</v>
      </c>
      <c r="G29" s="485" t="s">
        <v>694</v>
      </c>
      <c r="H29" s="481"/>
    </row>
    <row r="30" spans="1:8" s="1" customFormat="1" ht="12.75">
      <c r="A30" s="480" t="s">
        <v>163</v>
      </c>
      <c r="B30" s="501">
        <v>77</v>
      </c>
      <c r="C30" s="509">
        <v>770</v>
      </c>
      <c r="D30" s="486" t="s">
        <v>156</v>
      </c>
      <c r="E30" s="509">
        <v>70</v>
      </c>
      <c r="F30" s="486" t="s">
        <v>514</v>
      </c>
      <c r="G30" s="485"/>
      <c r="H30" s="481"/>
    </row>
    <row r="31" spans="1:8" s="1" customFormat="1" ht="12.75">
      <c r="A31" s="480" t="s">
        <v>157</v>
      </c>
      <c r="B31" s="501">
        <v>74</v>
      </c>
      <c r="C31" s="509">
        <v>740</v>
      </c>
      <c r="D31" s="486" t="s">
        <v>178</v>
      </c>
      <c r="E31" s="509">
        <v>350</v>
      </c>
      <c r="F31" s="486" t="s">
        <v>500</v>
      </c>
      <c r="G31" s="485"/>
      <c r="H31" s="481"/>
    </row>
    <row r="32" spans="1:8" s="1" customFormat="1" ht="12.75">
      <c r="A32" s="480" t="s">
        <v>158</v>
      </c>
      <c r="B32" s="501">
        <v>74</v>
      </c>
      <c r="C32" s="509">
        <v>740</v>
      </c>
      <c r="D32" s="486" t="s">
        <v>520</v>
      </c>
      <c r="E32" s="509">
        <v>35</v>
      </c>
      <c r="F32" s="486" t="s">
        <v>513</v>
      </c>
      <c r="G32" s="485"/>
      <c r="H32" s="481"/>
    </row>
    <row r="33" spans="1:8" s="1" customFormat="1" ht="12.75">
      <c r="A33" s="480" t="s">
        <v>179</v>
      </c>
      <c r="B33" s="501">
        <v>73</v>
      </c>
      <c r="C33" s="509">
        <v>730</v>
      </c>
      <c r="D33" s="486" t="s">
        <v>521</v>
      </c>
      <c r="E33" s="509">
        <v>200</v>
      </c>
      <c r="F33" s="486" t="s">
        <v>500</v>
      </c>
      <c r="G33" s="485"/>
      <c r="H33" s="481"/>
    </row>
    <row r="34" spans="1:8" s="1" customFormat="1" ht="12.75">
      <c r="A34" s="480" t="s">
        <v>519</v>
      </c>
      <c r="B34" s="501">
        <v>73</v>
      </c>
      <c r="C34" s="509">
        <v>730</v>
      </c>
      <c r="D34" s="486" t="s">
        <v>517</v>
      </c>
      <c r="E34" s="509">
        <v>90</v>
      </c>
      <c r="F34" s="486" t="s">
        <v>518</v>
      </c>
      <c r="G34" s="485"/>
      <c r="H34" s="481"/>
    </row>
    <row r="35" spans="1:8" s="1" customFormat="1" ht="12.75">
      <c r="A35" s="480" t="s">
        <v>159</v>
      </c>
      <c r="B35" s="501">
        <v>73</v>
      </c>
      <c r="C35" s="509">
        <v>730</v>
      </c>
      <c r="D35" s="486" t="s">
        <v>523</v>
      </c>
      <c r="E35" s="509">
        <v>120</v>
      </c>
      <c r="F35" s="486" t="s">
        <v>518</v>
      </c>
      <c r="G35" s="485"/>
      <c r="H35" s="481"/>
    </row>
    <row r="36" spans="1:8" s="1" customFormat="1" ht="12.75">
      <c r="A36" s="480" t="s">
        <v>160</v>
      </c>
      <c r="B36" s="501">
        <v>73</v>
      </c>
      <c r="C36" s="509">
        <v>730</v>
      </c>
      <c r="D36" s="486" t="s">
        <v>522</v>
      </c>
      <c r="E36" s="509">
        <v>150</v>
      </c>
      <c r="F36" s="486" t="s">
        <v>518</v>
      </c>
      <c r="G36" s="485" t="s">
        <v>696</v>
      </c>
      <c r="H36" s="481"/>
    </row>
    <row r="37" spans="1:8" s="1" customFormat="1" ht="12.75">
      <c r="A37" s="480" t="s">
        <v>161</v>
      </c>
      <c r="B37" s="501">
        <v>75</v>
      </c>
      <c r="C37" s="509">
        <v>750</v>
      </c>
      <c r="D37" s="486" t="s">
        <v>524</v>
      </c>
      <c r="E37" s="509">
        <v>4.5</v>
      </c>
      <c r="F37" s="486" t="s">
        <v>515</v>
      </c>
      <c r="G37" s="485" t="s">
        <v>693</v>
      </c>
      <c r="H37" s="481"/>
    </row>
    <row r="38" spans="1:8" s="1" customFormat="1" ht="12.75">
      <c r="A38" s="480" t="s">
        <v>162</v>
      </c>
      <c r="B38" s="501">
        <v>74</v>
      </c>
      <c r="C38" s="509">
        <v>740</v>
      </c>
      <c r="D38" s="486" t="s">
        <v>255</v>
      </c>
      <c r="E38" s="509">
        <v>50</v>
      </c>
      <c r="F38" s="486" t="s">
        <v>516</v>
      </c>
      <c r="G38" s="485" t="s">
        <v>695</v>
      </c>
      <c r="H38" s="481"/>
    </row>
    <row r="39" spans="1:8" s="1" customFormat="1" ht="12.75">
      <c r="A39" s="480" t="s">
        <v>477</v>
      </c>
      <c r="B39" s="501"/>
      <c r="C39" s="509"/>
      <c r="D39" s="486" t="s">
        <v>508</v>
      </c>
      <c r="E39" s="509">
        <v>175</v>
      </c>
      <c r="F39" s="486" t="s">
        <v>500</v>
      </c>
      <c r="G39" s="485"/>
      <c r="H39" s="481"/>
    </row>
    <row r="40" spans="1:8" s="1" customFormat="1" ht="12.75">
      <c r="A40" s="480"/>
      <c r="B40" s="501"/>
      <c r="C40" s="509"/>
      <c r="D40" s="486"/>
      <c r="E40" s="509"/>
      <c r="F40" s="486"/>
      <c r="G40" s="485"/>
      <c r="H40" s="481"/>
    </row>
    <row r="41" spans="1:8" s="1" customFormat="1" ht="12.75">
      <c r="A41" s="480"/>
      <c r="B41" s="501"/>
      <c r="C41" s="509"/>
      <c r="D41" s="486"/>
      <c r="E41" s="509"/>
      <c r="F41" s="486"/>
      <c r="G41" s="485"/>
      <c r="H41" s="481"/>
    </row>
    <row r="42" spans="1:8" s="1" customFormat="1" ht="12.75">
      <c r="A42" s="479" t="s">
        <v>683</v>
      </c>
      <c r="B42" s="501"/>
      <c r="C42" s="509"/>
      <c r="D42" s="486"/>
      <c r="E42" s="509"/>
      <c r="F42" s="486"/>
      <c r="G42" s="485"/>
      <c r="H42" s="481">
        <v>1</v>
      </c>
    </row>
    <row r="43" spans="1:8" s="1" customFormat="1" ht="12.75">
      <c r="A43" s="480" t="s">
        <v>171</v>
      </c>
      <c r="B43" s="501">
        <v>75</v>
      </c>
      <c r="C43" s="509">
        <v>750</v>
      </c>
      <c r="D43" s="486" t="s">
        <v>533</v>
      </c>
      <c r="E43" s="509">
        <v>45</v>
      </c>
      <c r="F43" s="486" t="s">
        <v>502</v>
      </c>
      <c r="G43" s="485" t="s">
        <v>691</v>
      </c>
      <c r="H43" s="481">
        <v>1</v>
      </c>
    </row>
    <row r="44" spans="1:8" s="1" customFormat="1" ht="12.75">
      <c r="A44" s="480" t="s">
        <v>176</v>
      </c>
      <c r="B44" s="501"/>
      <c r="C44" s="509"/>
      <c r="D44" s="486" t="s">
        <v>505</v>
      </c>
      <c r="E44" s="509">
        <v>3.5</v>
      </c>
      <c r="F44" s="486" t="s">
        <v>607</v>
      </c>
      <c r="G44" s="485" t="s">
        <v>2034</v>
      </c>
      <c r="H44" s="481"/>
    </row>
    <row r="45" spans="1:8" s="1" customFormat="1" ht="12.75">
      <c r="A45" s="480" t="s">
        <v>672</v>
      </c>
      <c r="B45" s="501"/>
      <c r="C45" s="509"/>
      <c r="D45" s="486" t="s">
        <v>673</v>
      </c>
      <c r="E45" s="509">
        <v>30</v>
      </c>
      <c r="F45" s="486" t="s">
        <v>510</v>
      </c>
      <c r="G45" s="485" t="s">
        <v>2032</v>
      </c>
      <c r="H45" s="481"/>
    </row>
    <row r="46" spans="1:8" s="1" customFormat="1" ht="12.75">
      <c r="A46" s="480" t="s">
        <v>37</v>
      </c>
      <c r="B46" s="501"/>
      <c r="C46" s="509"/>
      <c r="D46" s="486" t="s">
        <v>536</v>
      </c>
      <c r="E46" s="509">
        <v>5</v>
      </c>
      <c r="F46" s="486" t="s">
        <v>501</v>
      </c>
      <c r="G46" s="485" t="s">
        <v>2030</v>
      </c>
      <c r="H46" s="481"/>
    </row>
    <row r="47" spans="1:8" s="1" customFormat="1" ht="12.75">
      <c r="A47" s="480" t="s">
        <v>174</v>
      </c>
      <c r="B47" s="501">
        <v>73</v>
      </c>
      <c r="C47" s="509">
        <v>730</v>
      </c>
      <c r="D47" s="486" t="s">
        <v>537</v>
      </c>
      <c r="E47" s="509">
        <v>300</v>
      </c>
      <c r="F47" s="486" t="s">
        <v>500</v>
      </c>
      <c r="G47" s="485" t="s">
        <v>2031</v>
      </c>
      <c r="H47" s="481"/>
    </row>
    <row r="48" spans="1:8" s="1" customFormat="1" ht="12.75">
      <c r="A48" s="480" t="s">
        <v>175</v>
      </c>
      <c r="B48" s="501">
        <v>75</v>
      </c>
      <c r="C48" s="509">
        <v>750</v>
      </c>
      <c r="D48" s="486" t="s">
        <v>504</v>
      </c>
      <c r="E48" s="509">
        <v>3.5</v>
      </c>
      <c r="F48" s="486" t="s">
        <v>500</v>
      </c>
      <c r="G48" s="485"/>
      <c r="H48" s="481"/>
    </row>
    <row r="49" spans="1:8" s="1" customFormat="1" ht="12.75">
      <c r="A49" s="480" t="s">
        <v>669</v>
      </c>
      <c r="B49" s="501"/>
      <c r="C49" s="509"/>
      <c r="D49" s="486"/>
      <c r="E49" s="509">
        <v>4</v>
      </c>
      <c r="F49" s="486" t="s">
        <v>670</v>
      </c>
      <c r="G49" s="485" t="s">
        <v>2033</v>
      </c>
      <c r="H49" s="481"/>
    </row>
    <row r="50" spans="1:8" s="1" customFormat="1" ht="12.75">
      <c r="A50" s="506"/>
      <c r="B50" s="501"/>
      <c r="C50" s="509"/>
      <c r="D50" s="486"/>
      <c r="E50" s="509"/>
      <c r="F50" s="486"/>
      <c r="G50" s="485"/>
      <c r="H50" s="481"/>
    </row>
    <row r="51" spans="1:8" s="1" customFormat="1" ht="12.75">
      <c r="A51" s="480" t="s">
        <v>478</v>
      </c>
      <c r="B51" s="501"/>
      <c r="C51" s="509">
        <v>65</v>
      </c>
      <c r="D51" s="486" t="s">
        <v>509</v>
      </c>
      <c r="E51" s="509">
        <v>750</v>
      </c>
      <c r="F51" s="473"/>
      <c r="G51" s="485"/>
      <c r="H51" s="481"/>
    </row>
    <row r="52" spans="1:8" s="1" customFormat="1" ht="12.75">
      <c r="A52" s="480" t="s">
        <v>172</v>
      </c>
      <c r="B52" s="501">
        <v>82</v>
      </c>
      <c r="C52" s="509">
        <v>820</v>
      </c>
      <c r="D52" s="486" t="s">
        <v>94</v>
      </c>
      <c r="E52" s="509">
        <v>4.5</v>
      </c>
      <c r="F52" s="486" t="s">
        <v>503</v>
      </c>
      <c r="G52" s="485"/>
      <c r="H52" s="481"/>
    </row>
    <row r="53" spans="1:8" s="1" customFormat="1" ht="12.75">
      <c r="A53" s="480" t="s">
        <v>671</v>
      </c>
      <c r="B53" s="501"/>
      <c r="C53" s="509"/>
      <c r="D53" s="486" t="s">
        <v>534</v>
      </c>
      <c r="E53" s="510">
        <v>4.5</v>
      </c>
      <c r="F53" s="486" t="s">
        <v>510</v>
      </c>
      <c r="G53" s="485"/>
      <c r="H53" s="481"/>
    </row>
    <row r="54" spans="1:8" s="1" customFormat="1" ht="12.75">
      <c r="A54" s="480" t="s">
        <v>35</v>
      </c>
      <c r="B54" s="501">
        <v>77</v>
      </c>
      <c r="C54" s="509">
        <v>770</v>
      </c>
      <c r="D54" s="486" t="s">
        <v>534</v>
      </c>
      <c r="E54" s="509">
        <v>4.5</v>
      </c>
      <c r="F54" s="486" t="s">
        <v>510</v>
      </c>
      <c r="G54" s="485"/>
      <c r="H54" s="481"/>
    </row>
    <row r="55" spans="1:8" s="1" customFormat="1" ht="12.75">
      <c r="A55" s="480" t="s">
        <v>479</v>
      </c>
      <c r="B55" s="501"/>
      <c r="C55" s="509"/>
      <c r="D55" s="486" t="s">
        <v>504</v>
      </c>
      <c r="E55" s="509">
        <v>4</v>
      </c>
      <c r="F55" s="486" t="s">
        <v>502</v>
      </c>
      <c r="G55" s="485" t="s">
        <v>2036</v>
      </c>
      <c r="H55" s="481"/>
    </row>
    <row r="56" spans="1:8" s="1" customFormat="1" ht="12.75">
      <c r="A56" s="480" t="s">
        <v>173</v>
      </c>
      <c r="B56" s="501">
        <v>75</v>
      </c>
      <c r="C56" s="509">
        <v>750</v>
      </c>
      <c r="D56" s="486" t="s">
        <v>535</v>
      </c>
      <c r="E56" s="509">
        <v>70</v>
      </c>
      <c r="F56" s="486" t="s">
        <v>514</v>
      </c>
      <c r="G56" s="485" t="s">
        <v>2035</v>
      </c>
      <c r="H56" s="481"/>
    </row>
    <row r="57" spans="1:8" s="1" customFormat="1" ht="12.75">
      <c r="A57" s="480"/>
      <c r="B57" s="501"/>
      <c r="C57" s="509"/>
      <c r="D57" s="486"/>
      <c r="E57" s="509"/>
      <c r="F57" s="486"/>
      <c r="G57" s="485"/>
      <c r="H57" s="481"/>
    </row>
    <row r="58" spans="1:8" s="1" customFormat="1" ht="12.75">
      <c r="A58" s="480"/>
      <c r="B58" s="501"/>
      <c r="C58" s="509"/>
      <c r="D58" s="486">
        <v>1</v>
      </c>
      <c r="E58" s="509" t="s">
        <v>819</v>
      </c>
      <c r="F58" s="486"/>
      <c r="G58" s="485"/>
      <c r="H58" s="481"/>
    </row>
    <row r="59" spans="1:8" s="1" customFormat="1" ht="12.75">
      <c r="A59" s="479" t="s">
        <v>682</v>
      </c>
      <c r="B59" s="501"/>
      <c r="C59" s="509"/>
      <c r="D59" s="486">
        <v>1</v>
      </c>
      <c r="E59" s="509" t="s">
        <v>820</v>
      </c>
      <c r="F59" s="473"/>
      <c r="G59" s="485"/>
      <c r="H59" s="481">
        <v>1</v>
      </c>
    </row>
    <row r="60" spans="1:8" s="1" customFormat="1" ht="12.75">
      <c r="A60" s="480" t="s">
        <v>166</v>
      </c>
      <c r="B60" s="501">
        <v>65</v>
      </c>
      <c r="C60" s="509">
        <v>650</v>
      </c>
      <c r="D60" s="486" t="s">
        <v>528</v>
      </c>
      <c r="E60" s="509">
        <v>900</v>
      </c>
      <c r="F60" s="486" t="s">
        <v>501</v>
      </c>
      <c r="G60" s="485" t="s">
        <v>697</v>
      </c>
      <c r="H60" s="481">
        <v>1</v>
      </c>
    </row>
    <row r="61" spans="1:8" s="1" customFormat="1" ht="12.75">
      <c r="A61" s="480" t="s">
        <v>167</v>
      </c>
      <c r="B61" s="501">
        <v>65</v>
      </c>
      <c r="C61" s="509">
        <v>650</v>
      </c>
      <c r="D61" s="486" t="s">
        <v>529</v>
      </c>
      <c r="E61" s="509">
        <v>1150</v>
      </c>
      <c r="F61" s="486" t="s">
        <v>501</v>
      </c>
      <c r="G61" s="485" t="s">
        <v>698</v>
      </c>
      <c r="H61" s="481"/>
    </row>
    <row r="62" spans="1:8" s="1" customFormat="1" ht="12.75">
      <c r="A62" s="480" t="s">
        <v>168</v>
      </c>
      <c r="B62" s="501">
        <v>65</v>
      </c>
      <c r="C62" s="509">
        <v>650</v>
      </c>
      <c r="D62" s="486" t="s">
        <v>530</v>
      </c>
      <c r="E62" s="509">
        <v>1400</v>
      </c>
      <c r="F62" s="486" t="s">
        <v>501</v>
      </c>
      <c r="G62" s="485" t="s">
        <v>699</v>
      </c>
      <c r="H62" s="481"/>
    </row>
    <row r="63" spans="1:8" s="1" customFormat="1" ht="12.75">
      <c r="A63" s="480" t="s">
        <v>700</v>
      </c>
      <c r="B63" s="501">
        <v>65</v>
      </c>
      <c r="C63" s="509">
        <v>650</v>
      </c>
      <c r="D63" s="486" t="s">
        <v>528</v>
      </c>
      <c r="E63" s="509">
        <v>900</v>
      </c>
      <c r="F63" s="486" t="s">
        <v>501</v>
      </c>
      <c r="G63" s="485"/>
      <c r="H63" s="481"/>
    </row>
    <row r="64" spans="1:8" s="1" customFormat="1" ht="12.75">
      <c r="A64" s="480" t="s">
        <v>701</v>
      </c>
      <c r="B64" s="501">
        <v>65</v>
      </c>
      <c r="C64" s="509">
        <v>650</v>
      </c>
      <c r="D64" s="486" t="s">
        <v>529</v>
      </c>
      <c r="E64" s="509">
        <v>1150</v>
      </c>
      <c r="F64" s="486" t="s">
        <v>501</v>
      </c>
      <c r="G64" s="485"/>
      <c r="H64" s="481"/>
    </row>
    <row r="65" spans="1:8" s="1" customFormat="1" ht="12.75">
      <c r="A65" s="480" t="s">
        <v>702</v>
      </c>
      <c r="B65" s="501">
        <v>65</v>
      </c>
      <c r="C65" s="509">
        <v>650</v>
      </c>
      <c r="D65" s="486" t="s">
        <v>530</v>
      </c>
      <c r="E65" s="509">
        <v>1400</v>
      </c>
      <c r="F65" s="486" t="s">
        <v>501</v>
      </c>
      <c r="G65" s="485" t="s">
        <v>704</v>
      </c>
      <c r="H65" s="481"/>
    </row>
    <row r="66" spans="1:8" s="1" customFormat="1" ht="12.75">
      <c r="A66" s="480" t="s">
        <v>169</v>
      </c>
      <c r="B66" s="501">
        <v>65</v>
      </c>
      <c r="C66" s="509">
        <v>650</v>
      </c>
      <c r="D66" s="486" t="s">
        <v>531</v>
      </c>
      <c r="E66" s="509">
        <v>650</v>
      </c>
      <c r="F66" s="486" t="s">
        <v>501</v>
      </c>
      <c r="G66" s="485"/>
      <c r="H66" s="481"/>
    </row>
    <row r="67" spans="1:8" s="1" customFormat="1" ht="12.75">
      <c r="A67" s="480" t="s">
        <v>170</v>
      </c>
      <c r="B67" s="501">
        <v>65</v>
      </c>
      <c r="C67" s="509">
        <v>650</v>
      </c>
      <c r="D67" s="486" t="s">
        <v>532</v>
      </c>
      <c r="E67" s="509">
        <v>1200</v>
      </c>
      <c r="F67" s="486" t="s">
        <v>501</v>
      </c>
      <c r="G67" s="485"/>
      <c r="H67" s="481"/>
    </row>
    <row r="68" spans="1:8" s="1" customFormat="1" ht="12.75">
      <c r="A68" s="480" t="s">
        <v>165</v>
      </c>
      <c r="B68" s="501">
        <v>65</v>
      </c>
      <c r="C68" s="509">
        <v>650</v>
      </c>
      <c r="D68" s="486" t="s">
        <v>703</v>
      </c>
      <c r="E68" s="509">
        <v>1050</v>
      </c>
      <c r="F68" s="486" t="s">
        <v>501</v>
      </c>
      <c r="G68" s="485"/>
      <c r="H68" s="481"/>
    </row>
    <row r="69" spans="1:8" s="1" customFormat="1" ht="12.75">
      <c r="A69" s="480"/>
      <c r="B69" s="501"/>
      <c r="C69" s="509"/>
      <c r="D69" s="486"/>
      <c r="E69" s="509"/>
      <c r="F69" s="486"/>
      <c r="G69" s="485"/>
      <c r="H69" s="481"/>
    </row>
    <row r="70" spans="1:8" s="1" customFormat="1" ht="12.75">
      <c r="A70" s="480"/>
      <c r="B70" s="501"/>
      <c r="C70" s="509"/>
      <c r="D70" s="486"/>
      <c r="E70" s="509"/>
      <c r="F70" s="473"/>
      <c r="G70" s="485"/>
      <c r="H70" s="481"/>
    </row>
    <row r="71" spans="1:8" s="1" customFormat="1" ht="12.75">
      <c r="A71" s="480" t="s">
        <v>72</v>
      </c>
      <c r="B71" s="501"/>
      <c r="C71" s="509"/>
      <c r="D71" s="486"/>
      <c r="E71" s="509"/>
      <c r="F71" s="473"/>
      <c r="G71" s="485"/>
      <c r="H71" s="481"/>
    </row>
    <row r="72" spans="1:8" s="1" customFormat="1" ht="12.75">
      <c r="A72" s="480"/>
      <c r="B72" s="501"/>
      <c r="C72" s="509"/>
      <c r="D72" s="486"/>
      <c r="E72" s="509"/>
      <c r="F72" s="473"/>
      <c r="G72" s="485"/>
      <c r="H72" s="481"/>
    </row>
    <row r="73" spans="1:8" s="1" customFormat="1" ht="12.75">
      <c r="A73" s="480"/>
      <c r="B73" s="501"/>
      <c r="C73" s="473"/>
      <c r="D73" s="473"/>
      <c r="E73" s="473"/>
      <c r="F73" s="473"/>
      <c r="G73" s="485"/>
      <c r="H73" s="481"/>
    </row>
    <row r="74" spans="1:8" s="1" customFormat="1" ht="12.75">
      <c r="A74" s="480"/>
      <c r="B74" s="501"/>
      <c r="C74" s="473"/>
      <c r="D74" s="473"/>
      <c r="E74" s="473"/>
      <c r="F74" s="473"/>
      <c r="G74" s="485"/>
      <c r="H74" s="481"/>
    </row>
    <row r="75" spans="1:8" s="1" customFormat="1" ht="12.75">
      <c r="A75" s="480"/>
      <c r="B75" s="501"/>
      <c r="C75" s="473"/>
      <c r="D75" s="473"/>
      <c r="E75" s="473"/>
      <c r="F75" s="473"/>
      <c r="G75" s="485"/>
      <c r="H75" s="481"/>
    </row>
    <row r="76" spans="1:8" s="1" customFormat="1" ht="12.75">
      <c r="A76" s="480"/>
      <c r="B76" s="501"/>
      <c r="C76" s="473"/>
      <c r="D76" s="473"/>
      <c r="E76" s="473"/>
      <c r="F76" s="473"/>
      <c r="G76" s="485"/>
      <c r="H76" s="481"/>
    </row>
    <row r="77" spans="1:8" s="1" customFormat="1" ht="12.75">
      <c r="A77" s="480"/>
      <c r="B77" s="501"/>
      <c r="C77" s="473"/>
      <c r="D77" s="473"/>
      <c r="E77" s="473"/>
      <c r="F77" s="473"/>
      <c r="G77" s="485"/>
      <c r="H77" s="481"/>
    </row>
    <row r="78" spans="1:8" s="1" customFormat="1" ht="12.75">
      <c r="A78" s="11"/>
      <c r="B78" s="11"/>
      <c r="C78" s="11"/>
      <c r="D78" s="11"/>
      <c r="E78" s="11"/>
      <c r="F78" s="2"/>
      <c r="H78" s="403"/>
    </row>
    <row r="79" spans="1:8" s="1" customFormat="1" ht="12.75">
      <c r="F79" s="2"/>
      <c r="H79" s="403"/>
    </row>
  </sheetData>
  <pageMargins left="0.7" right="0.7" top="0.78740157499999996" bottom="0.78740157499999996" header="0.3" footer="0.3"/>
  <pageSetup paperSize="9" orientation="portrait" r:id="rId1"/>
  <ignoredErrors>
    <ignoredError sqref="D13" twoDigitTextYea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DE555"/>
    <pageSetUpPr fitToPage="1"/>
  </sheetPr>
  <dimension ref="A1:G116"/>
  <sheetViews>
    <sheetView showGridLines="0" topLeftCell="A13" zoomScaleNormal="100" workbookViewId="0">
      <selection activeCell="G34" sqref="G34"/>
    </sheetView>
  </sheetViews>
  <sheetFormatPr baseColWidth="10" defaultColWidth="11.42578125" defaultRowHeight="12.75"/>
  <cols>
    <col min="1" max="1" width="29.5703125" style="1" customWidth="1"/>
    <col min="2" max="2" width="10" style="554" customWidth="1"/>
    <col min="3" max="3" width="8.28515625" style="1" customWidth="1"/>
    <col min="4" max="4" width="16.5703125" style="1" customWidth="1"/>
    <col min="5" max="5" width="32.5703125" style="1" customWidth="1"/>
    <col min="6" max="6" width="51" style="563" customWidth="1"/>
    <col min="7" max="7" width="9.28515625" style="393" customWidth="1"/>
    <col min="8" max="16384" width="11.42578125" style="1"/>
  </cols>
  <sheetData>
    <row r="1" spans="1:7" ht="18.75">
      <c r="A1" s="412" t="s">
        <v>678</v>
      </c>
      <c r="B1" s="550"/>
      <c r="C1" s="273"/>
      <c r="D1" s="273"/>
      <c r="E1" s="273"/>
      <c r="F1" s="558"/>
    </row>
    <row r="2" spans="1:7" ht="18.75">
      <c r="A2" s="412"/>
      <c r="B2" s="550"/>
      <c r="C2" s="273"/>
      <c r="D2" s="273"/>
      <c r="E2" s="273"/>
      <c r="F2" s="558"/>
    </row>
    <row r="3" spans="1:7">
      <c r="A3" s="273"/>
      <c r="B3" s="550"/>
      <c r="C3" s="273"/>
      <c r="D3" s="273"/>
      <c r="E3" s="273"/>
      <c r="F3" s="558"/>
    </row>
    <row r="4" spans="1:7" ht="15">
      <c r="A4" s="467" t="s">
        <v>13</v>
      </c>
      <c r="B4" s="468" t="s">
        <v>1890</v>
      </c>
      <c r="C4" s="120"/>
      <c r="D4" s="120"/>
      <c r="E4" s="120"/>
      <c r="F4" s="559"/>
    </row>
    <row r="5" spans="1:7" ht="15">
      <c r="A5" s="467" t="s">
        <v>22</v>
      </c>
      <c r="B5" s="568"/>
      <c r="C5" s="478" t="s">
        <v>48</v>
      </c>
      <c r="D5" s="691" t="s">
        <v>53</v>
      </c>
      <c r="E5" s="692"/>
      <c r="F5" s="569"/>
    </row>
    <row r="6" spans="1:7" s="16" customFormat="1" ht="38.25">
      <c r="A6" s="475" t="s">
        <v>22</v>
      </c>
      <c r="B6" s="551" t="s">
        <v>188</v>
      </c>
      <c r="C6" s="567"/>
      <c r="D6" s="476" t="s">
        <v>1970</v>
      </c>
      <c r="E6" s="477" t="s">
        <v>1969</v>
      </c>
      <c r="F6" s="560" t="s">
        <v>1655</v>
      </c>
      <c r="G6" s="409" t="s">
        <v>15</v>
      </c>
    </row>
    <row r="7" spans="1:7">
      <c r="A7" s="469" t="s">
        <v>13</v>
      </c>
      <c r="B7" s="552" t="s">
        <v>1658</v>
      </c>
      <c r="C7" s="471"/>
      <c r="D7" s="471"/>
      <c r="E7" s="470"/>
      <c r="F7" s="561"/>
      <c r="G7" s="410">
        <v>1</v>
      </c>
    </row>
    <row r="8" spans="1:7">
      <c r="A8" s="472" t="s">
        <v>1701</v>
      </c>
      <c r="B8" s="557">
        <v>4</v>
      </c>
      <c r="C8" s="473" t="s">
        <v>51</v>
      </c>
      <c r="D8" s="473" t="s">
        <v>1655</v>
      </c>
      <c r="E8" s="474" t="s">
        <v>1805</v>
      </c>
      <c r="F8" s="562" t="s">
        <v>1802</v>
      </c>
      <c r="G8" s="411">
        <v>1</v>
      </c>
    </row>
    <row r="9" spans="1:7">
      <c r="A9" s="472" t="s">
        <v>1702</v>
      </c>
      <c r="B9" s="557">
        <v>8.5</v>
      </c>
      <c r="C9" s="473" t="s">
        <v>51</v>
      </c>
      <c r="D9" s="473" t="s">
        <v>1655</v>
      </c>
      <c r="E9" s="474" t="s">
        <v>1804</v>
      </c>
      <c r="F9" s="562" t="s">
        <v>1803</v>
      </c>
      <c r="G9" s="411"/>
    </row>
    <row r="10" spans="1:7">
      <c r="A10" s="472" t="s">
        <v>1703</v>
      </c>
      <c r="B10" s="557">
        <v>5</v>
      </c>
      <c r="C10" s="473" t="s">
        <v>1806</v>
      </c>
      <c r="D10" s="473" t="s">
        <v>1655</v>
      </c>
      <c r="E10" s="474" t="s">
        <v>1807</v>
      </c>
      <c r="F10" s="562" t="s">
        <v>1808</v>
      </c>
      <c r="G10" s="411"/>
    </row>
    <row r="11" spans="1:7">
      <c r="A11" s="472" t="s">
        <v>1704</v>
      </c>
      <c r="B11" s="557">
        <v>4.5</v>
      </c>
      <c r="C11" s="473" t="s">
        <v>49</v>
      </c>
      <c r="D11" s="473" t="s">
        <v>1655</v>
      </c>
      <c r="E11" s="474" t="s">
        <v>1809</v>
      </c>
      <c r="F11" s="562" t="s">
        <v>1810</v>
      </c>
      <c r="G11" s="411"/>
    </row>
    <row r="12" spans="1:7">
      <c r="A12" s="472" t="s">
        <v>1705</v>
      </c>
      <c r="B12" s="557">
        <v>11.6</v>
      </c>
      <c r="C12" s="473" t="s">
        <v>50</v>
      </c>
      <c r="D12" s="473" t="s">
        <v>1655</v>
      </c>
      <c r="E12" s="474"/>
      <c r="F12" s="562" t="s">
        <v>1811</v>
      </c>
      <c r="G12" s="411"/>
    </row>
    <row r="13" spans="1:7">
      <c r="A13" s="472" t="s">
        <v>1706</v>
      </c>
      <c r="B13" s="557">
        <v>7.2</v>
      </c>
      <c r="C13" s="473" t="s">
        <v>1827</v>
      </c>
      <c r="D13" s="473" t="s">
        <v>1814</v>
      </c>
      <c r="E13" s="474" t="s">
        <v>1812</v>
      </c>
      <c r="F13" s="562" t="s">
        <v>1813</v>
      </c>
      <c r="G13" s="411"/>
    </row>
    <row r="14" spans="1:7">
      <c r="A14" s="472" t="s">
        <v>1707</v>
      </c>
      <c r="B14" s="557">
        <v>7.6</v>
      </c>
      <c r="C14" s="473" t="s">
        <v>49</v>
      </c>
      <c r="D14" s="473" t="s">
        <v>1814</v>
      </c>
      <c r="E14" s="474" t="s">
        <v>1814</v>
      </c>
      <c r="F14" s="562" t="s">
        <v>1815</v>
      </c>
      <c r="G14" s="411"/>
    </row>
    <row r="15" spans="1:7">
      <c r="A15" s="472" t="s">
        <v>1708</v>
      </c>
      <c r="B15" s="557">
        <v>4.8</v>
      </c>
      <c r="C15" s="473" t="s">
        <v>1827</v>
      </c>
      <c r="D15" s="473" t="s">
        <v>1655</v>
      </c>
      <c r="E15" s="474" t="s">
        <v>1816</v>
      </c>
      <c r="F15" s="562" t="s">
        <v>1817</v>
      </c>
      <c r="G15" s="411"/>
    </row>
    <row r="16" spans="1:7">
      <c r="A16" s="472" t="s">
        <v>1709</v>
      </c>
      <c r="B16" s="557">
        <v>5.2</v>
      </c>
      <c r="C16" s="473" t="s">
        <v>49</v>
      </c>
      <c r="D16" s="473" t="s">
        <v>1655</v>
      </c>
      <c r="E16" s="474" t="s">
        <v>1933</v>
      </c>
      <c r="F16" s="562" t="s">
        <v>1818</v>
      </c>
      <c r="G16" s="411"/>
    </row>
    <row r="17" spans="1:7">
      <c r="A17" s="472" t="s">
        <v>1710</v>
      </c>
      <c r="B17" s="557">
        <v>13.2</v>
      </c>
      <c r="C17" s="473" t="s">
        <v>51</v>
      </c>
      <c r="D17" s="473" t="s">
        <v>1971</v>
      </c>
      <c r="E17" s="474" t="s">
        <v>1819</v>
      </c>
      <c r="F17" s="562" t="s">
        <v>2027</v>
      </c>
      <c r="G17" s="411"/>
    </row>
    <row r="18" spans="1:7">
      <c r="A18" s="472" t="s">
        <v>1711</v>
      </c>
      <c r="B18" s="557">
        <v>6.5</v>
      </c>
      <c r="C18" s="473" t="s">
        <v>50</v>
      </c>
      <c r="D18" s="473" t="s">
        <v>1971</v>
      </c>
      <c r="E18" s="474" t="s">
        <v>1820</v>
      </c>
      <c r="F18" s="562" t="s">
        <v>1863</v>
      </c>
      <c r="G18" s="411"/>
    </row>
    <row r="19" spans="1:7">
      <c r="A19" s="472" t="s">
        <v>1712</v>
      </c>
      <c r="B19" s="557">
        <v>3.9</v>
      </c>
      <c r="C19" s="473" t="s">
        <v>50</v>
      </c>
      <c r="D19" s="473" t="s">
        <v>1655</v>
      </c>
      <c r="E19" s="474"/>
      <c r="F19" s="562" t="s">
        <v>1821</v>
      </c>
      <c r="G19" s="411"/>
    </row>
    <row r="20" spans="1:7">
      <c r="A20" s="472" t="s">
        <v>1713</v>
      </c>
      <c r="B20" s="557">
        <v>14.6</v>
      </c>
      <c r="C20" s="473" t="s">
        <v>51</v>
      </c>
      <c r="D20" s="473" t="s">
        <v>1814</v>
      </c>
      <c r="E20" s="474"/>
      <c r="F20" s="562" t="s">
        <v>1822</v>
      </c>
      <c r="G20" s="411"/>
    </row>
    <row r="21" spans="1:7">
      <c r="A21" s="472" t="s">
        <v>1714</v>
      </c>
      <c r="B21" s="557">
        <v>5</v>
      </c>
      <c r="C21" s="473" t="s">
        <v>78</v>
      </c>
      <c r="D21" s="473" t="s">
        <v>1655</v>
      </c>
      <c r="E21" s="474" t="s">
        <v>1823</v>
      </c>
      <c r="F21" s="562" t="s">
        <v>1824</v>
      </c>
      <c r="G21" s="411"/>
    </row>
    <row r="22" spans="1:7">
      <c r="A22" s="472" t="s">
        <v>1715</v>
      </c>
      <c r="B22" s="557">
        <v>5.6</v>
      </c>
      <c r="C22" s="473" t="s">
        <v>50</v>
      </c>
      <c r="D22" s="473" t="s">
        <v>1655</v>
      </c>
      <c r="E22" s="474" t="s">
        <v>1823</v>
      </c>
      <c r="F22" s="562" t="s">
        <v>1824</v>
      </c>
      <c r="G22" s="411"/>
    </row>
    <row r="23" spans="1:7">
      <c r="A23" s="472" t="s">
        <v>1825</v>
      </c>
      <c r="B23" s="557">
        <v>5.9</v>
      </c>
      <c r="C23" s="473" t="s">
        <v>1826</v>
      </c>
      <c r="D23" s="473" t="s">
        <v>1655</v>
      </c>
      <c r="E23" s="474" t="s">
        <v>1823</v>
      </c>
      <c r="F23" s="562" t="s">
        <v>1824</v>
      </c>
      <c r="G23" s="411"/>
    </row>
    <row r="24" spans="1:7">
      <c r="A24" s="472" t="s">
        <v>1716</v>
      </c>
      <c r="B24" s="557">
        <v>8</v>
      </c>
      <c r="C24" s="473" t="s">
        <v>51</v>
      </c>
      <c r="D24" s="473" t="s">
        <v>1655</v>
      </c>
      <c r="E24" s="474" t="s">
        <v>1823</v>
      </c>
      <c r="F24" s="562" t="s">
        <v>1824</v>
      </c>
      <c r="G24" s="411"/>
    </row>
    <row r="25" spans="1:7">
      <c r="A25" s="472" t="s">
        <v>1717</v>
      </c>
      <c r="B25" s="557">
        <v>3</v>
      </c>
      <c r="C25" s="473" t="s">
        <v>1827</v>
      </c>
      <c r="D25" s="473" t="s">
        <v>1655</v>
      </c>
      <c r="E25" s="474" t="s">
        <v>1829</v>
      </c>
      <c r="F25" s="562" t="s">
        <v>1828</v>
      </c>
      <c r="G25" s="411"/>
    </row>
    <row r="26" spans="1:7">
      <c r="A26" s="472" t="s">
        <v>1718</v>
      </c>
      <c r="B26" s="557">
        <v>10.6</v>
      </c>
      <c r="C26" s="473" t="s">
        <v>51</v>
      </c>
      <c r="D26" s="473" t="s">
        <v>1655</v>
      </c>
      <c r="E26" s="474" t="s">
        <v>1830</v>
      </c>
      <c r="F26" s="562" t="s">
        <v>1831</v>
      </c>
      <c r="G26" s="411"/>
    </row>
    <row r="27" spans="1:7">
      <c r="A27" s="472" t="s">
        <v>1719</v>
      </c>
      <c r="B27" s="557">
        <v>7.3</v>
      </c>
      <c r="C27" s="473" t="s">
        <v>49</v>
      </c>
      <c r="D27" s="473" t="s">
        <v>1655</v>
      </c>
      <c r="E27" s="474" t="s">
        <v>1932</v>
      </c>
      <c r="F27" s="562" t="s">
        <v>1862</v>
      </c>
      <c r="G27" s="411"/>
    </row>
    <row r="28" spans="1:7">
      <c r="A28" s="472" t="s">
        <v>1720</v>
      </c>
      <c r="B28" s="557">
        <v>13.4</v>
      </c>
      <c r="C28" s="473" t="s">
        <v>51</v>
      </c>
      <c r="D28" s="473" t="s">
        <v>1971</v>
      </c>
      <c r="E28" s="474" t="s">
        <v>1832</v>
      </c>
      <c r="F28" s="562" t="s">
        <v>1833</v>
      </c>
      <c r="G28" s="411"/>
    </row>
    <row r="29" spans="1:7">
      <c r="A29" s="472" t="s">
        <v>1721</v>
      </c>
      <c r="B29" s="557">
        <v>14.2</v>
      </c>
      <c r="C29" s="473" t="s">
        <v>51</v>
      </c>
      <c r="D29" s="473" t="s">
        <v>1655</v>
      </c>
      <c r="E29" s="474" t="s">
        <v>1834</v>
      </c>
      <c r="F29" s="562" t="s">
        <v>1835</v>
      </c>
      <c r="G29" s="411"/>
    </row>
    <row r="30" spans="1:7">
      <c r="A30" s="472" t="s">
        <v>1722</v>
      </c>
      <c r="B30" s="557">
        <v>6.3</v>
      </c>
      <c r="C30" s="473" t="s">
        <v>51</v>
      </c>
      <c r="D30" s="473" t="s">
        <v>1814</v>
      </c>
      <c r="E30" s="474" t="s">
        <v>1836</v>
      </c>
      <c r="F30" s="562" t="s">
        <v>1837</v>
      </c>
      <c r="G30" s="411"/>
    </row>
    <row r="31" spans="1:7">
      <c r="A31" s="472" t="s">
        <v>1723</v>
      </c>
      <c r="B31" s="557">
        <v>10.6</v>
      </c>
      <c r="C31" s="473" t="s">
        <v>51</v>
      </c>
      <c r="D31" s="566"/>
      <c r="E31" s="564" t="s">
        <v>1838</v>
      </c>
      <c r="F31" s="562" t="s">
        <v>1839</v>
      </c>
      <c r="G31" s="411"/>
    </row>
    <row r="32" spans="1:7">
      <c r="A32" s="472" t="s">
        <v>1724</v>
      </c>
      <c r="B32" s="557">
        <v>8.6999999999999993</v>
      </c>
      <c r="C32" s="473" t="s">
        <v>51</v>
      </c>
      <c r="D32" s="473" t="s">
        <v>1814</v>
      </c>
      <c r="E32" s="474" t="s">
        <v>1819</v>
      </c>
      <c r="F32" s="562" t="s">
        <v>1841</v>
      </c>
      <c r="G32" s="411"/>
    </row>
    <row r="33" spans="1:7">
      <c r="A33" s="472" t="s">
        <v>1725</v>
      </c>
      <c r="B33" s="557">
        <v>3.7</v>
      </c>
      <c r="C33" s="473" t="s">
        <v>51</v>
      </c>
      <c r="D33" s="473" t="s">
        <v>1655</v>
      </c>
      <c r="E33" s="474" t="s">
        <v>1931</v>
      </c>
      <c r="F33" s="562" t="s">
        <v>1840</v>
      </c>
      <c r="G33" s="411"/>
    </row>
    <row r="34" spans="1:7">
      <c r="A34" s="472" t="s">
        <v>1726</v>
      </c>
      <c r="B34" s="557">
        <v>6.8</v>
      </c>
      <c r="C34" s="473" t="s">
        <v>51</v>
      </c>
      <c r="D34" s="473" t="s">
        <v>1655</v>
      </c>
      <c r="E34" s="474"/>
      <c r="F34" s="562" t="s">
        <v>1842</v>
      </c>
      <c r="G34" s="411"/>
    </row>
    <row r="35" spans="1:7">
      <c r="A35" s="472" t="s">
        <v>1727</v>
      </c>
      <c r="B35" s="557">
        <v>14</v>
      </c>
      <c r="C35" s="473" t="s">
        <v>51</v>
      </c>
      <c r="D35" s="473"/>
      <c r="E35" s="474" t="s">
        <v>1843</v>
      </c>
      <c r="F35" s="562" t="s">
        <v>1844</v>
      </c>
      <c r="G35" s="411"/>
    </row>
    <row r="36" spans="1:7">
      <c r="A36" s="472" t="s">
        <v>1728</v>
      </c>
      <c r="B36" s="557">
        <v>12.6</v>
      </c>
      <c r="C36" s="473" t="s">
        <v>52</v>
      </c>
      <c r="D36" s="473" t="s">
        <v>1814</v>
      </c>
      <c r="E36" s="474" t="s">
        <v>1845</v>
      </c>
      <c r="F36" s="562" t="s">
        <v>1846</v>
      </c>
      <c r="G36" s="411"/>
    </row>
    <row r="37" spans="1:7">
      <c r="A37" s="472" t="s">
        <v>1729</v>
      </c>
      <c r="B37" s="557">
        <v>13.4</v>
      </c>
      <c r="C37" s="473" t="s">
        <v>51</v>
      </c>
      <c r="D37" s="473"/>
      <c r="E37" s="474"/>
      <c r="F37" s="562" t="s">
        <v>1847</v>
      </c>
      <c r="G37" s="411"/>
    </row>
    <row r="38" spans="1:7">
      <c r="A38" s="472" t="s">
        <v>1730</v>
      </c>
      <c r="B38" s="557">
        <v>12.7</v>
      </c>
      <c r="C38" s="473" t="s">
        <v>51</v>
      </c>
      <c r="D38" s="473" t="s">
        <v>1814</v>
      </c>
      <c r="E38" s="474" t="s">
        <v>1848</v>
      </c>
      <c r="F38" s="562" t="s">
        <v>1849</v>
      </c>
      <c r="G38" s="411"/>
    </row>
    <row r="39" spans="1:7">
      <c r="A39" s="472" t="s">
        <v>1731</v>
      </c>
      <c r="B39" s="557">
        <v>14.6</v>
      </c>
      <c r="C39" s="473" t="s">
        <v>180</v>
      </c>
      <c r="D39" s="473" t="s">
        <v>1814</v>
      </c>
      <c r="E39" s="474"/>
      <c r="F39" s="562" t="s">
        <v>1850</v>
      </c>
      <c r="G39" s="411"/>
    </row>
    <row r="40" spans="1:7">
      <c r="A40" s="472" t="s">
        <v>1732</v>
      </c>
      <c r="B40" s="557">
        <v>17.600000000000001</v>
      </c>
      <c r="C40" s="473" t="s">
        <v>51</v>
      </c>
      <c r="D40" s="473" t="s">
        <v>1971</v>
      </c>
      <c r="E40" s="474"/>
      <c r="F40" s="562" t="s">
        <v>1851</v>
      </c>
      <c r="G40" s="411"/>
    </row>
    <row r="41" spans="1:7">
      <c r="A41" s="472" t="s">
        <v>1733</v>
      </c>
      <c r="B41" s="557" t="s">
        <v>1799</v>
      </c>
      <c r="C41" s="473" t="s">
        <v>49</v>
      </c>
      <c r="D41" s="473" t="s">
        <v>1814</v>
      </c>
      <c r="E41" s="474" t="s">
        <v>1852</v>
      </c>
      <c r="F41" s="562" t="s">
        <v>1853</v>
      </c>
      <c r="G41" s="411"/>
    </row>
    <row r="42" spans="1:7">
      <c r="A42" s="472" t="s">
        <v>1734</v>
      </c>
      <c r="B42" s="557">
        <v>9</v>
      </c>
      <c r="C42" s="473" t="s">
        <v>49</v>
      </c>
      <c r="D42" s="473"/>
      <c r="E42" s="474" t="s">
        <v>1859</v>
      </c>
      <c r="F42" s="562" t="s">
        <v>1966</v>
      </c>
      <c r="G42" s="411"/>
    </row>
    <row r="43" spans="1:7">
      <c r="A43" s="472" t="s">
        <v>1735</v>
      </c>
      <c r="B43" s="557">
        <v>5.3</v>
      </c>
      <c r="C43" s="473" t="s">
        <v>49</v>
      </c>
      <c r="D43" s="473" t="s">
        <v>1655</v>
      </c>
      <c r="E43" s="474" t="s">
        <v>1854</v>
      </c>
      <c r="F43" s="562" t="s">
        <v>1855</v>
      </c>
      <c r="G43" s="411"/>
    </row>
    <row r="44" spans="1:7">
      <c r="A44" s="472" t="s">
        <v>1736</v>
      </c>
      <c r="B44" s="557">
        <v>13.6</v>
      </c>
      <c r="C44" s="473" t="s">
        <v>180</v>
      </c>
      <c r="D44" s="473" t="s">
        <v>1971</v>
      </c>
      <c r="E44" s="474" t="s">
        <v>1957</v>
      </c>
      <c r="F44" s="562" t="s">
        <v>1856</v>
      </c>
      <c r="G44" s="411"/>
    </row>
    <row r="45" spans="1:7">
      <c r="A45" s="472" t="s">
        <v>1737</v>
      </c>
      <c r="B45" s="557">
        <v>13.6</v>
      </c>
      <c r="C45" s="473" t="s">
        <v>51</v>
      </c>
      <c r="D45" s="473" t="s">
        <v>1971</v>
      </c>
      <c r="E45" s="474" t="s">
        <v>1860</v>
      </c>
      <c r="F45" s="562" t="s">
        <v>1861</v>
      </c>
      <c r="G45" s="411"/>
    </row>
    <row r="46" spans="1:7">
      <c r="A46" s="472" t="s">
        <v>1738</v>
      </c>
      <c r="B46" s="557">
        <v>6.4</v>
      </c>
      <c r="C46" s="473" t="s">
        <v>51</v>
      </c>
      <c r="D46" s="473" t="s">
        <v>1655</v>
      </c>
      <c r="E46" s="474" t="s">
        <v>1857</v>
      </c>
      <c r="F46" s="562" t="s">
        <v>1858</v>
      </c>
      <c r="G46" s="411"/>
    </row>
    <row r="47" spans="1:7">
      <c r="A47" s="472" t="s">
        <v>1739</v>
      </c>
      <c r="B47" s="557">
        <v>5.9</v>
      </c>
      <c r="C47" s="473" t="s">
        <v>49</v>
      </c>
      <c r="D47" s="473" t="s">
        <v>1655</v>
      </c>
      <c r="E47" s="474" t="s">
        <v>1859</v>
      </c>
      <c r="F47" s="562" t="s">
        <v>1965</v>
      </c>
      <c r="G47" s="411"/>
    </row>
    <row r="48" spans="1:7">
      <c r="A48" s="472" t="s">
        <v>1740</v>
      </c>
      <c r="B48" s="557">
        <v>12.1</v>
      </c>
      <c r="C48" s="473" t="s">
        <v>52</v>
      </c>
      <c r="D48" s="473" t="s">
        <v>1971</v>
      </c>
      <c r="E48" s="474" t="s">
        <v>1930</v>
      </c>
      <c r="F48" s="562" t="s">
        <v>1864</v>
      </c>
      <c r="G48" s="411"/>
    </row>
    <row r="49" spans="1:7">
      <c r="A49" s="472" t="s">
        <v>1741</v>
      </c>
      <c r="B49" s="557">
        <v>8.1999999999999993</v>
      </c>
      <c r="C49" s="473" t="s">
        <v>50</v>
      </c>
      <c r="D49" s="473" t="s">
        <v>1655</v>
      </c>
      <c r="E49" s="474"/>
      <c r="F49" s="562" t="s">
        <v>1865</v>
      </c>
      <c r="G49" s="411"/>
    </row>
    <row r="50" spans="1:7">
      <c r="A50" s="472" t="s">
        <v>1742</v>
      </c>
      <c r="B50" s="557">
        <v>9.1999999999999993</v>
      </c>
      <c r="C50" s="473" t="s">
        <v>50</v>
      </c>
      <c r="D50" s="473" t="s">
        <v>1655</v>
      </c>
      <c r="E50" s="474"/>
      <c r="F50" s="562" t="s">
        <v>1865</v>
      </c>
      <c r="G50" s="411"/>
    </row>
    <row r="51" spans="1:7">
      <c r="A51" s="472" t="s">
        <v>1743</v>
      </c>
      <c r="B51" s="557">
        <v>7.5</v>
      </c>
      <c r="C51" s="473" t="s">
        <v>50</v>
      </c>
      <c r="D51" s="473" t="s">
        <v>1655</v>
      </c>
      <c r="E51" s="474" t="s">
        <v>1928</v>
      </c>
      <c r="F51" s="562" t="s">
        <v>1866</v>
      </c>
      <c r="G51" s="411"/>
    </row>
    <row r="52" spans="1:7">
      <c r="A52" s="472" t="s">
        <v>1744</v>
      </c>
      <c r="B52" s="557">
        <v>6.6</v>
      </c>
      <c r="C52" s="473" t="s">
        <v>50</v>
      </c>
      <c r="D52" s="473" t="s">
        <v>1655</v>
      </c>
      <c r="E52" s="474" t="s">
        <v>1929</v>
      </c>
      <c r="F52" s="562" t="s">
        <v>1867</v>
      </c>
      <c r="G52" s="411"/>
    </row>
    <row r="53" spans="1:7">
      <c r="A53" s="472" t="s">
        <v>1972</v>
      </c>
      <c r="B53" s="557">
        <v>14.6</v>
      </c>
      <c r="C53" s="473" t="s">
        <v>50</v>
      </c>
      <c r="D53" s="473" t="s">
        <v>1971</v>
      </c>
      <c r="E53" s="474" t="s">
        <v>1926</v>
      </c>
      <c r="F53" s="562" t="s">
        <v>1881</v>
      </c>
      <c r="G53" s="411"/>
    </row>
    <row r="54" spans="1:7">
      <c r="A54" s="472" t="s">
        <v>1745</v>
      </c>
      <c r="B54" s="557">
        <v>17</v>
      </c>
      <c r="C54" s="473" t="s">
        <v>50</v>
      </c>
      <c r="D54" s="473" t="s">
        <v>1971</v>
      </c>
      <c r="E54" s="474"/>
      <c r="F54" s="562" t="s">
        <v>1868</v>
      </c>
      <c r="G54" s="411"/>
    </row>
    <row r="55" spans="1:7">
      <c r="A55" s="472" t="s">
        <v>1746</v>
      </c>
      <c r="B55" s="557">
        <v>3.6</v>
      </c>
      <c r="C55" s="473" t="s">
        <v>50</v>
      </c>
      <c r="D55" s="473" t="s">
        <v>1655</v>
      </c>
      <c r="E55" s="474" t="s">
        <v>1927</v>
      </c>
      <c r="F55" s="562" t="s">
        <v>1869</v>
      </c>
      <c r="G55" s="411"/>
    </row>
    <row r="56" spans="1:7">
      <c r="A56" s="472" t="s">
        <v>1747</v>
      </c>
      <c r="B56" s="557">
        <v>11.5</v>
      </c>
      <c r="C56" s="473"/>
      <c r="D56" s="473"/>
      <c r="E56" s="474"/>
      <c r="F56" s="562" t="s">
        <v>1871</v>
      </c>
      <c r="G56" s="411"/>
    </row>
    <row r="57" spans="1:7">
      <c r="A57" s="472" t="s">
        <v>1748</v>
      </c>
      <c r="B57" s="557">
        <v>7.7</v>
      </c>
      <c r="C57" s="473" t="s">
        <v>50</v>
      </c>
      <c r="D57" s="473" t="s">
        <v>1655</v>
      </c>
      <c r="E57" s="474"/>
      <c r="F57" s="562" t="s">
        <v>1870</v>
      </c>
      <c r="G57" s="411"/>
    </row>
    <row r="58" spans="1:7">
      <c r="A58" s="472" t="s">
        <v>1749</v>
      </c>
      <c r="B58" s="557">
        <v>10.5</v>
      </c>
      <c r="C58" s="473" t="s">
        <v>1873</v>
      </c>
      <c r="D58" s="473" t="s">
        <v>1971</v>
      </c>
      <c r="E58" s="474" t="s">
        <v>1874</v>
      </c>
      <c r="F58" s="562" t="s">
        <v>1872</v>
      </c>
      <c r="G58" s="411"/>
    </row>
    <row r="59" spans="1:7">
      <c r="A59" s="472" t="s">
        <v>1750</v>
      </c>
      <c r="B59" s="557">
        <v>5.3</v>
      </c>
      <c r="C59" s="473" t="s">
        <v>51</v>
      </c>
      <c r="D59" s="473" t="s">
        <v>1655</v>
      </c>
      <c r="E59" s="474" t="s">
        <v>1876</v>
      </c>
      <c r="F59" s="562" t="s">
        <v>1875</v>
      </c>
      <c r="G59" s="411"/>
    </row>
    <row r="60" spans="1:7">
      <c r="A60" s="472" t="s">
        <v>1751</v>
      </c>
      <c r="B60" s="557">
        <v>5.4</v>
      </c>
      <c r="C60" s="473" t="s">
        <v>51</v>
      </c>
      <c r="D60" s="473" t="s">
        <v>1655</v>
      </c>
      <c r="E60" s="474" t="s">
        <v>1877</v>
      </c>
      <c r="F60" s="562" t="s">
        <v>1878</v>
      </c>
      <c r="G60" s="411"/>
    </row>
    <row r="61" spans="1:7">
      <c r="A61" s="472" t="s">
        <v>1752</v>
      </c>
      <c r="B61" s="557">
        <v>3.8</v>
      </c>
      <c r="C61" s="473" t="s">
        <v>1873</v>
      </c>
      <c r="D61" s="473"/>
      <c r="E61" s="474" t="s">
        <v>1879</v>
      </c>
      <c r="F61" s="562" t="s">
        <v>1880</v>
      </c>
      <c r="G61" s="411"/>
    </row>
    <row r="62" spans="1:7">
      <c r="A62" s="472" t="s">
        <v>1883</v>
      </c>
      <c r="B62" s="557">
        <v>7.6</v>
      </c>
      <c r="C62" s="473" t="s">
        <v>1884</v>
      </c>
      <c r="D62" s="473" t="s">
        <v>1655</v>
      </c>
      <c r="E62" s="474"/>
      <c r="F62" s="562" t="s">
        <v>1885</v>
      </c>
      <c r="G62" s="411"/>
    </row>
    <row r="63" spans="1:7">
      <c r="A63" s="472" t="s">
        <v>1753</v>
      </c>
      <c r="B63" s="557">
        <v>8.1999999999999993</v>
      </c>
      <c r="C63" s="473" t="s">
        <v>78</v>
      </c>
      <c r="D63" s="473" t="s">
        <v>1655</v>
      </c>
      <c r="E63" s="474" t="s">
        <v>1882</v>
      </c>
      <c r="F63" s="562" t="s">
        <v>1886</v>
      </c>
      <c r="G63" s="411"/>
    </row>
    <row r="64" spans="1:7">
      <c r="A64" s="472" t="s">
        <v>1754</v>
      </c>
      <c r="B64" s="557">
        <v>8.9</v>
      </c>
      <c r="C64" s="473" t="s">
        <v>50</v>
      </c>
      <c r="D64" s="473" t="s">
        <v>1655</v>
      </c>
      <c r="E64" s="474" t="s">
        <v>1882</v>
      </c>
      <c r="F64" s="562" t="s">
        <v>1886</v>
      </c>
      <c r="G64" s="411"/>
    </row>
    <row r="65" spans="1:7">
      <c r="A65" s="472" t="s">
        <v>1755</v>
      </c>
      <c r="B65" s="557">
        <v>17.399999999999999</v>
      </c>
      <c r="C65" s="473" t="s">
        <v>51</v>
      </c>
      <c r="D65" s="473" t="s">
        <v>1971</v>
      </c>
      <c r="E65" s="474" t="s">
        <v>1888</v>
      </c>
      <c r="F65" s="562" t="s">
        <v>1887</v>
      </c>
      <c r="G65" s="411"/>
    </row>
    <row r="66" spans="1:7">
      <c r="A66" s="472" t="s">
        <v>1756</v>
      </c>
      <c r="B66" s="557" t="s">
        <v>1800</v>
      </c>
      <c r="C66" s="473" t="s">
        <v>49</v>
      </c>
      <c r="D66" s="473"/>
      <c r="E66" s="474"/>
      <c r="F66" s="562" t="s">
        <v>1964</v>
      </c>
      <c r="G66" s="411"/>
    </row>
    <row r="67" spans="1:7">
      <c r="A67" s="472" t="s">
        <v>1757</v>
      </c>
      <c r="B67" s="557">
        <v>13.29</v>
      </c>
      <c r="C67" s="473" t="s">
        <v>51</v>
      </c>
      <c r="D67" s="473" t="s">
        <v>1655</v>
      </c>
      <c r="E67" s="474"/>
      <c r="F67" s="562" t="s">
        <v>1891</v>
      </c>
      <c r="G67" s="411"/>
    </row>
    <row r="68" spans="1:7">
      <c r="A68" s="472" t="s">
        <v>1758</v>
      </c>
      <c r="B68" s="557">
        <v>6.6</v>
      </c>
      <c r="C68" s="473" t="s">
        <v>52</v>
      </c>
      <c r="D68" s="473" t="s">
        <v>1655</v>
      </c>
      <c r="E68" s="474" t="s">
        <v>1921</v>
      </c>
      <c r="F68" s="562" t="s">
        <v>1892</v>
      </c>
      <c r="G68" s="411"/>
    </row>
    <row r="69" spans="1:7">
      <c r="A69" s="472" t="s">
        <v>1759</v>
      </c>
      <c r="B69" s="557">
        <v>4.7</v>
      </c>
      <c r="C69" s="473" t="s">
        <v>51</v>
      </c>
      <c r="D69" s="473" t="s">
        <v>1655</v>
      </c>
      <c r="E69" s="474" t="s">
        <v>1922</v>
      </c>
      <c r="F69" s="562" t="s">
        <v>1893</v>
      </c>
      <c r="G69" s="411"/>
    </row>
    <row r="70" spans="1:7">
      <c r="A70" s="472" t="s">
        <v>1760</v>
      </c>
      <c r="B70" s="557">
        <v>11.7</v>
      </c>
      <c r="C70" s="473" t="s">
        <v>52</v>
      </c>
      <c r="D70" s="473" t="s">
        <v>1814</v>
      </c>
      <c r="E70" s="474" t="s">
        <v>1923</v>
      </c>
      <c r="F70" s="562" t="s">
        <v>1894</v>
      </c>
      <c r="G70" s="411"/>
    </row>
    <row r="71" spans="1:7">
      <c r="A71" s="472" t="s">
        <v>1761</v>
      </c>
      <c r="B71" s="557">
        <v>8.1999999999999993</v>
      </c>
      <c r="C71" s="473" t="s">
        <v>49</v>
      </c>
      <c r="D71" s="473" t="s">
        <v>1814</v>
      </c>
      <c r="E71" s="474" t="s">
        <v>1924</v>
      </c>
      <c r="F71" s="562" t="s">
        <v>1895</v>
      </c>
      <c r="G71" s="411"/>
    </row>
    <row r="72" spans="1:7">
      <c r="A72" s="472" t="s">
        <v>1762</v>
      </c>
      <c r="B72" s="557">
        <v>11</v>
      </c>
      <c r="C72" s="473" t="s">
        <v>50</v>
      </c>
      <c r="D72" s="473" t="s">
        <v>1971</v>
      </c>
      <c r="E72" s="474" t="s">
        <v>1925</v>
      </c>
      <c r="F72" s="562" t="s">
        <v>1896</v>
      </c>
      <c r="G72" s="411"/>
    </row>
    <row r="73" spans="1:7">
      <c r="A73" s="472" t="s">
        <v>1763</v>
      </c>
      <c r="B73" s="557">
        <v>9.3000000000000007</v>
      </c>
      <c r="C73" s="473" t="s">
        <v>50</v>
      </c>
      <c r="D73" s="473" t="s">
        <v>1971</v>
      </c>
      <c r="E73" s="474" t="s">
        <v>1888</v>
      </c>
      <c r="F73" s="562" t="s">
        <v>1897</v>
      </c>
      <c r="G73" s="411"/>
    </row>
    <row r="74" spans="1:7">
      <c r="A74" s="472" t="s">
        <v>1764</v>
      </c>
      <c r="B74" s="557">
        <v>7</v>
      </c>
      <c r="C74" s="473" t="s">
        <v>50</v>
      </c>
      <c r="D74" s="473" t="s">
        <v>1655</v>
      </c>
      <c r="E74" s="474" t="s">
        <v>1934</v>
      </c>
      <c r="F74" s="562" t="s">
        <v>1898</v>
      </c>
      <c r="G74" s="411"/>
    </row>
    <row r="75" spans="1:7">
      <c r="A75" s="472" t="s">
        <v>1765</v>
      </c>
      <c r="B75" s="557">
        <v>13.2</v>
      </c>
      <c r="C75" s="473" t="s">
        <v>52</v>
      </c>
      <c r="D75" s="473" t="s">
        <v>1971</v>
      </c>
      <c r="E75" s="474" t="s">
        <v>1935</v>
      </c>
      <c r="F75" s="562" t="s">
        <v>1899</v>
      </c>
      <c r="G75" s="411"/>
    </row>
    <row r="76" spans="1:7">
      <c r="A76" s="472" t="s">
        <v>1766</v>
      </c>
      <c r="B76" s="557">
        <v>12.3</v>
      </c>
      <c r="C76" s="473" t="s">
        <v>52</v>
      </c>
      <c r="D76" s="473" t="s">
        <v>1971</v>
      </c>
      <c r="E76" s="474" t="s">
        <v>1937</v>
      </c>
      <c r="F76" s="562" t="s">
        <v>1900</v>
      </c>
      <c r="G76" s="411"/>
    </row>
    <row r="77" spans="1:7">
      <c r="A77" s="472" t="s">
        <v>1767</v>
      </c>
      <c r="B77" s="557">
        <v>8.3000000000000007</v>
      </c>
      <c r="C77" s="473" t="s">
        <v>51</v>
      </c>
      <c r="D77" s="473" t="s">
        <v>1655</v>
      </c>
      <c r="E77" s="474" t="s">
        <v>1819</v>
      </c>
      <c r="F77" s="562" t="s">
        <v>1901</v>
      </c>
      <c r="G77" s="411"/>
    </row>
    <row r="78" spans="1:7">
      <c r="A78" s="472" t="s">
        <v>1768</v>
      </c>
      <c r="B78" s="557">
        <v>10</v>
      </c>
      <c r="C78" s="473" t="s">
        <v>78</v>
      </c>
      <c r="D78" s="473" t="s">
        <v>1655</v>
      </c>
      <c r="E78" s="474" t="s">
        <v>1936</v>
      </c>
      <c r="F78" s="562" t="s">
        <v>1902</v>
      </c>
      <c r="G78" s="411">
        <v>1</v>
      </c>
    </row>
    <row r="79" spans="1:7">
      <c r="A79" s="472" t="s">
        <v>1769</v>
      </c>
      <c r="B79" s="557">
        <v>8.5</v>
      </c>
      <c r="C79" s="473" t="s">
        <v>50</v>
      </c>
      <c r="D79" s="473" t="s">
        <v>1655</v>
      </c>
      <c r="E79" s="474" t="s">
        <v>1936</v>
      </c>
      <c r="F79" s="562" t="s">
        <v>1902</v>
      </c>
      <c r="G79" s="411">
        <v>1</v>
      </c>
    </row>
    <row r="80" spans="1:7">
      <c r="A80" s="472" t="s">
        <v>1770</v>
      </c>
      <c r="B80" s="557">
        <v>6.8</v>
      </c>
      <c r="C80" s="473" t="s">
        <v>49</v>
      </c>
      <c r="D80" s="473" t="s">
        <v>1814</v>
      </c>
      <c r="E80" s="474" t="s">
        <v>1967</v>
      </c>
      <c r="F80" s="562" t="s">
        <v>1968</v>
      </c>
      <c r="G80" s="411">
        <v>1</v>
      </c>
    </row>
    <row r="81" spans="1:7">
      <c r="A81" s="472" t="s">
        <v>1771</v>
      </c>
      <c r="B81" s="557">
        <v>9.5</v>
      </c>
      <c r="C81" s="473" t="s">
        <v>49</v>
      </c>
      <c r="D81" s="473" t="s">
        <v>1814</v>
      </c>
      <c r="E81" s="474"/>
      <c r="F81" s="562" t="s">
        <v>1903</v>
      </c>
      <c r="G81" s="411">
        <v>1</v>
      </c>
    </row>
    <row r="82" spans="1:7">
      <c r="A82" s="472" t="s">
        <v>1772</v>
      </c>
      <c r="B82" s="557">
        <v>8.8000000000000007</v>
      </c>
      <c r="C82" s="473" t="s">
        <v>49</v>
      </c>
      <c r="D82" s="473"/>
      <c r="E82" s="474"/>
      <c r="F82" s="562" t="s">
        <v>1938</v>
      </c>
      <c r="G82" s="411"/>
    </row>
    <row r="83" spans="1:7">
      <c r="A83" s="472" t="s">
        <v>1773</v>
      </c>
      <c r="B83" s="557">
        <v>9.3000000000000007</v>
      </c>
      <c r="C83" s="473" t="s">
        <v>49</v>
      </c>
      <c r="D83" s="473"/>
      <c r="E83" s="474"/>
      <c r="F83" s="562" t="s">
        <v>1939</v>
      </c>
      <c r="G83" s="411"/>
    </row>
    <row r="84" spans="1:7">
      <c r="A84" s="472" t="s">
        <v>1774</v>
      </c>
      <c r="B84" s="557">
        <v>19.600000000000001</v>
      </c>
      <c r="C84" s="473" t="s">
        <v>50</v>
      </c>
      <c r="D84" s="473" t="s">
        <v>1655</v>
      </c>
      <c r="E84" s="474"/>
      <c r="F84" s="562" t="s">
        <v>1904</v>
      </c>
      <c r="G84" s="411"/>
    </row>
    <row r="85" spans="1:7">
      <c r="A85" s="472" t="s">
        <v>1775</v>
      </c>
      <c r="B85" s="557">
        <v>6.6</v>
      </c>
      <c r="C85" s="473" t="s">
        <v>49</v>
      </c>
      <c r="D85" s="473" t="s">
        <v>1655</v>
      </c>
      <c r="E85" s="474" t="s">
        <v>1940</v>
      </c>
      <c r="F85" s="562" t="s">
        <v>1941</v>
      </c>
      <c r="G85" s="411"/>
    </row>
    <row r="86" spans="1:7">
      <c r="A86" s="472" t="s">
        <v>1776</v>
      </c>
      <c r="B86" s="557">
        <v>10.4</v>
      </c>
      <c r="C86" s="473" t="s">
        <v>52</v>
      </c>
      <c r="D86" s="473" t="s">
        <v>1814</v>
      </c>
      <c r="E86" s="474"/>
      <c r="F86" s="562" t="s">
        <v>1942</v>
      </c>
      <c r="G86" s="411"/>
    </row>
    <row r="87" spans="1:7">
      <c r="A87" s="472" t="s">
        <v>1777</v>
      </c>
      <c r="B87" s="557">
        <v>4.3</v>
      </c>
      <c r="C87" s="473" t="s">
        <v>1889</v>
      </c>
      <c r="D87" s="473" t="s">
        <v>1655</v>
      </c>
      <c r="E87" s="474" t="s">
        <v>1943</v>
      </c>
      <c r="F87" s="562" t="s">
        <v>1905</v>
      </c>
      <c r="G87" s="411"/>
    </row>
    <row r="88" spans="1:7">
      <c r="A88" s="472" t="s">
        <v>1778</v>
      </c>
      <c r="B88" s="557">
        <v>4.4000000000000004</v>
      </c>
      <c r="C88" s="473" t="s">
        <v>50</v>
      </c>
      <c r="D88" s="473" t="s">
        <v>1655</v>
      </c>
      <c r="E88" s="474" t="s">
        <v>1944</v>
      </c>
      <c r="F88" s="562" t="s">
        <v>1906</v>
      </c>
      <c r="G88" s="411"/>
    </row>
    <row r="89" spans="1:7">
      <c r="A89" s="472" t="s">
        <v>1779</v>
      </c>
      <c r="B89" s="557">
        <v>13.29</v>
      </c>
      <c r="C89" s="473" t="s">
        <v>51</v>
      </c>
      <c r="D89" s="473" t="s">
        <v>1814</v>
      </c>
      <c r="E89" s="474" t="s">
        <v>1945</v>
      </c>
      <c r="F89" s="562" t="s">
        <v>1907</v>
      </c>
      <c r="G89" s="411"/>
    </row>
    <row r="90" spans="1:7">
      <c r="A90" s="472" t="s">
        <v>1780</v>
      </c>
      <c r="B90" s="557">
        <v>13.5</v>
      </c>
      <c r="C90" s="473" t="s">
        <v>51</v>
      </c>
      <c r="D90" s="473" t="s">
        <v>1814</v>
      </c>
      <c r="E90" s="474" t="s">
        <v>1946</v>
      </c>
      <c r="F90" s="562" t="s">
        <v>1908</v>
      </c>
      <c r="G90" s="411"/>
    </row>
    <row r="91" spans="1:7">
      <c r="A91" s="472" t="s">
        <v>1781</v>
      </c>
      <c r="B91" s="557">
        <v>5</v>
      </c>
      <c r="C91" s="473" t="s">
        <v>78</v>
      </c>
      <c r="D91" s="473" t="s">
        <v>1655</v>
      </c>
      <c r="E91" s="474" t="s">
        <v>1947</v>
      </c>
      <c r="F91" s="562" t="s">
        <v>1909</v>
      </c>
      <c r="G91" s="411"/>
    </row>
    <row r="92" spans="1:7">
      <c r="A92" s="472" t="s">
        <v>1782</v>
      </c>
      <c r="B92" s="557">
        <v>6.4</v>
      </c>
      <c r="C92" s="473" t="s">
        <v>50</v>
      </c>
      <c r="D92" s="473" t="s">
        <v>1655</v>
      </c>
      <c r="E92" s="474" t="s">
        <v>1947</v>
      </c>
      <c r="F92" s="562" t="s">
        <v>1909</v>
      </c>
      <c r="G92" s="411"/>
    </row>
    <row r="93" spans="1:7">
      <c r="A93" s="472" t="s">
        <v>1783</v>
      </c>
      <c r="B93" s="557" t="s">
        <v>1801</v>
      </c>
      <c r="C93" s="473" t="s">
        <v>51</v>
      </c>
      <c r="D93" s="473" t="s">
        <v>1655</v>
      </c>
      <c r="E93" s="474" t="s">
        <v>1948</v>
      </c>
      <c r="F93" s="562" t="s">
        <v>1910</v>
      </c>
      <c r="G93" s="411"/>
    </row>
    <row r="94" spans="1:7">
      <c r="A94" s="472" t="s">
        <v>1784</v>
      </c>
      <c r="B94" s="557">
        <v>4.0999999999999996</v>
      </c>
      <c r="C94" s="473" t="s">
        <v>1827</v>
      </c>
      <c r="D94" s="473" t="s">
        <v>1655</v>
      </c>
      <c r="E94" s="474" t="s">
        <v>1949</v>
      </c>
      <c r="F94" s="562" t="s">
        <v>1911</v>
      </c>
      <c r="G94" s="411"/>
    </row>
    <row r="95" spans="1:7">
      <c r="A95" s="472" t="s">
        <v>1785</v>
      </c>
      <c r="B95" s="557">
        <v>16.100000000000001</v>
      </c>
      <c r="C95" s="473" t="s">
        <v>51</v>
      </c>
      <c r="D95" s="473" t="s">
        <v>1971</v>
      </c>
      <c r="E95" s="474" t="s">
        <v>1950</v>
      </c>
      <c r="F95" s="562" t="s">
        <v>1912</v>
      </c>
      <c r="G95" s="411"/>
    </row>
    <row r="96" spans="1:7">
      <c r="A96" s="472" t="s">
        <v>1786</v>
      </c>
      <c r="B96" s="557">
        <v>11.5</v>
      </c>
      <c r="C96" s="473" t="s">
        <v>49</v>
      </c>
      <c r="D96" s="473" t="s">
        <v>1971</v>
      </c>
      <c r="E96" s="474" t="s">
        <v>1951</v>
      </c>
      <c r="F96" s="562" t="s">
        <v>1913</v>
      </c>
      <c r="G96" s="411"/>
    </row>
    <row r="97" spans="1:7">
      <c r="A97" s="472" t="s">
        <v>1787</v>
      </c>
      <c r="B97" s="557">
        <v>12.5</v>
      </c>
      <c r="C97" s="473" t="s">
        <v>50</v>
      </c>
      <c r="D97" s="473" t="s">
        <v>1971</v>
      </c>
      <c r="E97" s="474" t="s">
        <v>1952</v>
      </c>
      <c r="F97" s="562" t="s">
        <v>2026</v>
      </c>
      <c r="G97" s="411"/>
    </row>
    <row r="98" spans="1:7">
      <c r="A98" s="472" t="s">
        <v>1788</v>
      </c>
      <c r="B98" s="557">
        <v>4.5</v>
      </c>
      <c r="C98" s="473" t="s">
        <v>50</v>
      </c>
      <c r="D98" s="473" t="s">
        <v>1655</v>
      </c>
      <c r="E98" s="474" t="s">
        <v>1953</v>
      </c>
      <c r="F98" s="562" t="s">
        <v>1905</v>
      </c>
      <c r="G98" s="411"/>
    </row>
    <row r="99" spans="1:7">
      <c r="A99" s="472" t="s">
        <v>1789</v>
      </c>
      <c r="B99" s="557">
        <v>15.8</v>
      </c>
      <c r="C99" s="473" t="s">
        <v>51</v>
      </c>
      <c r="D99" s="473" t="s">
        <v>1971</v>
      </c>
      <c r="E99" s="474" t="s">
        <v>1955</v>
      </c>
      <c r="F99" s="562" t="s">
        <v>1954</v>
      </c>
      <c r="G99" s="411"/>
    </row>
    <row r="100" spans="1:7">
      <c r="A100" s="472" t="s">
        <v>1790</v>
      </c>
      <c r="B100" s="557">
        <v>16</v>
      </c>
      <c r="C100" s="473" t="s">
        <v>180</v>
      </c>
      <c r="D100" s="473" t="s">
        <v>1971</v>
      </c>
      <c r="E100" s="474"/>
      <c r="F100" s="562" t="s">
        <v>1914</v>
      </c>
      <c r="G100" s="411"/>
    </row>
    <row r="101" spans="1:7">
      <c r="A101" s="472" t="s">
        <v>1791</v>
      </c>
      <c r="B101" s="557">
        <v>4.4000000000000004</v>
      </c>
      <c r="C101" s="473" t="s">
        <v>51</v>
      </c>
      <c r="D101" s="473" t="s">
        <v>1655</v>
      </c>
      <c r="E101" s="474" t="s">
        <v>1956</v>
      </c>
      <c r="F101" s="562"/>
      <c r="G101" s="411"/>
    </row>
    <row r="102" spans="1:7">
      <c r="A102" s="472" t="s">
        <v>1792</v>
      </c>
      <c r="B102" s="557">
        <v>16.100000000000001</v>
      </c>
      <c r="C102" s="473" t="s">
        <v>180</v>
      </c>
      <c r="D102" s="473" t="s">
        <v>1655</v>
      </c>
      <c r="E102" s="474" t="s">
        <v>1957</v>
      </c>
      <c r="F102" s="562" t="s">
        <v>1915</v>
      </c>
      <c r="G102" s="411"/>
    </row>
    <row r="103" spans="1:7">
      <c r="A103" s="472" t="s">
        <v>1793</v>
      </c>
      <c r="B103" s="557">
        <v>16.899999999999999</v>
      </c>
      <c r="C103" s="473" t="s">
        <v>52</v>
      </c>
      <c r="D103" s="473" t="s">
        <v>1814</v>
      </c>
      <c r="E103" s="474" t="s">
        <v>1958</v>
      </c>
      <c r="F103" s="562" t="s">
        <v>1916</v>
      </c>
      <c r="G103" s="411"/>
    </row>
    <row r="104" spans="1:7">
      <c r="A104" s="472" t="s">
        <v>1794</v>
      </c>
      <c r="B104" s="557">
        <v>7.9</v>
      </c>
      <c r="C104" s="473" t="s">
        <v>52</v>
      </c>
      <c r="D104" s="473"/>
      <c r="E104" s="474" t="s">
        <v>1959</v>
      </c>
      <c r="F104" s="562" t="s">
        <v>1917</v>
      </c>
      <c r="G104" s="411"/>
    </row>
    <row r="105" spans="1:7">
      <c r="A105" s="472" t="s">
        <v>1795</v>
      </c>
      <c r="B105" s="557">
        <v>17</v>
      </c>
      <c r="C105" s="473" t="s">
        <v>51</v>
      </c>
      <c r="D105" s="473" t="s">
        <v>1971</v>
      </c>
      <c r="E105" s="474" t="s">
        <v>1960</v>
      </c>
      <c r="F105" s="562" t="s">
        <v>1881</v>
      </c>
      <c r="G105" s="411"/>
    </row>
    <row r="106" spans="1:7">
      <c r="A106" s="472" t="s">
        <v>1796</v>
      </c>
      <c r="B106" s="557">
        <v>7.3</v>
      </c>
      <c r="C106" s="473" t="s">
        <v>51</v>
      </c>
      <c r="D106" s="473" t="s">
        <v>1655</v>
      </c>
      <c r="E106" s="474" t="s">
        <v>1961</v>
      </c>
      <c r="F106" s="562" t="s">
        <v>1918</v>
      </c>
      <c r="G106" s="411"/>
    </row>
    <row r="107" spans="1:7">
      <c r="A107" s="472" t="s">
        <v>1797</v>
      </c>
      <c r="B107" s="557">
        <v>16.100000000000001</v>
      </c>
      <c r="C107" s="473" t="s">
        <v>51</v>
      </c>
      <c r="D107" s="473" t="s">
        <v>1971</v>
      </c>
      <c r="E107" s="474" t="s">
        <v>1962</v>
      </c>
      <c r="F107" s="562" t="s">
        <v>1919</v>
      </c>
      <c r="G107" s="411"/>
    </row>
    <row r="108" spans="1:7">
      <c r="A108" s="472" t="s">
        <v>1798</v>
      </c>
      <c r="B108" s="557">
        <v>9.5</v>
      </c>
      <c r="C108" s="473" t="s">
        <v>51</v>
      </c>
      <c r="D108" s="473" t="s">
        <v>1973</v>
      </c>
      <c r="E108" s="474" t="s">
        <v>1963</v>
      </c>
      <c r="F108" s="562" t="s">
        <v>1920</v>
      </c>
      <c r="G108" s="411"/>
    </row>
    <row r="109" spans="1:7" ht="15">
      <c r="A109" s="565"/>
      <c r="B109" s="557"/>
      <c r="C109" s="473"/>
      <c r="D109" s="473"/>
      <c r="E109" s="474"/>
      <c r="F109" s="562"/>
      <c r="G109" s="411"/>
    </row>
    <row r="110" spans="1:7">
      <c r="A110" s="472"/>
      <c r="B110" s="557"/>
      <c r="C110" s="473"/>
      <c r="D110" s="473"/>
      <c r="E110" s="474"/>
      <c r="F110" s="562"/>
      <c r="G110" s="411"/>
    </row>
    <row r="111" spans="1:7">
      <c r="A111" s="472"/>
      <c r="B111" s="557"/>
      <c r="C111" s="473"/>
      <c r="D111" s="473"/>
      <c r="E111" s="474"/>
      <c r="F111" s="562"/>
      <c r="G111" s="411"/>
    </row>
    <row r="112" spans="1:7">
      <c r="A112" s="472"/>
      <c r="B112" s="557"/>
      <c r="C112" s="473"/>
      <c r="D112" s="473"/>
      <c r="E112" s="474"/>
      <c r="F112" s="562"/>
      <c r="G112" s="411"/>
    </row>
    <row r="113" spans="1:7">
      <c r="A113" s="472"/>
      <c r="B113" s="555"/>
      <c r="C113" s="473"/>
      <c r="D113" s="473"/>
      <c r="E113" s="474"/>
      <c r="F113" s="562"/>
      <c r="G113" s="411"/>
    </row>
    <row r="114" spans="1:7">
      <c r="A114" s="472"/>
      <c r="B114" s="556"/>
      <c r="C114" s="473"/>
      <c r="D114" s="473"/>
      <c r="E114" s="474"/>
      <c r="F114" s="562"/>
      <c r="G114" s="411"/>
    </row>
    <row r="115" spans="1:7">
      <c r="A115" s="472"/>
      <c r="B115" s="556"/>
      <c r="C115" s="473"/>
      <c r="D115" s="473"/>
      <c r="E115" s="474"/>
      <c r="F115" s="562"/>
      <c r="G115" s="411"/>
    </row>
    <row r="116" spans="1:7">
      <c r="A116" s="472"/>
      <c r="B116" s="553"/>
      <c r="C116" s="473"/>
      <c r="D116" s="473"/>
      <c r="E116" s="474"/>
      <c r="F116" s="562"/>
      <c r="G116" s="411"/>
    </row>
  </sheetData>
  <sortState ref="A7:E44">
    <sortCondition ref="A7"/>
  </sortState>
  <mergeCells count="1">
    <mergeCell ref="D5:E5"/>
  </mergeCells>
  <pageMargins left="0.70866141732283472" right="0.51181102362204722" top="0.39370078740157483" bottom="0.39370078740157483" header="0.31496062992125984" footer="0.31496062992125984"/>
  <pageSetup paperSize="9" scale="52"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DE555"/>
  </sheetPr>
  <dimension ref="A1:R53"/>
  <sheetViews>
    <sheetView showGridLines="0" topLeftCell="A16" zoomScale="115" zoomScaleNormal="115" workbookViewId="0">
      <selection activeCell="A40" sqref="A40:XFD40"/>
    </sheetView>
  </sheetViews>
  <sheetFormatPr baseColWidth="10" defaultColWidth="11.42578125" defaultRowHeight="12.75"/>
  <cols>
    <col min="1" max="1" width="23" style="1" customWidth="1"/>
    <col min="2" max="2" width="15.140625" style="1" customWidth="1"/>
    <col min="3" max="4" width="6.5703125" style="1" customWidth="1"/>
    <col min="5" max="6" width="5.85546875" style="8" customWidth="1"/>
    <col min="7" max="7" width="14.42578125" style="8" customWidth="1"/>
    <col min="8" max="12" width="10.140625" style="8" customWidth="1"/>
    <col min="13" max="13" width="65.140625" style="1" customWidth="1"/>
    <col min="14" max="14" width="11.42578125" style="1"/>
    <col min="15" max="18" width="11.42578125" style="393"/>
    <col min="19" max="16384" width="11.42578125" style="1"/>
  </cols>
  <sheetData>
    <row r="1" spans="1:18" ht="18.75">
      <c r="A1" s="412" t="s">
        <v>560</v>
      </c>
      <c r="B1" s="273"/>
      <c r="C1" s="273"/>
      <c r="D1" s="273"/>
      <c r="E1" s="414"/>
      <c r="F1" s="414"/>
      <c r="G1" s="414"/>
      <c r="H1" s="414"/>
      <c r="I1" s="414"/>
      <c r="J1" s="414"/>
      <c r="K1" s="414"/>
      <c r="L1" s="414"/>
      <c r="M1" s="273"/>
    </row>
    <row r="2" spans="1:18" ht="18.75">
      <c r="A2" s="412"/>
      <c r="B2" s="273"/>
      <c r="C2" s="273"/>
      <c r="D2" s="273"/>
      <c r="E2" s="414"/>
      <c r="F2" s="414"/>
      <c r="G2" s="414"/>
      <c r="H2" s="414"/>
      <c r="I2" s="414"/>
      <c r="J2" s="414"/>
      <c r="K2" s="414"/>
      <c r="L2" s="414"/>
      <c r="M2" s="273"/>
    </row>
    <row r="3" spans="1:18">
      <c r="A3" s="273"/>
      <c r="B3" s="273"/>
      <c r="C3" s="273"/>
      <c r="D3" s="273"/>
      <c r="E3" s="414"/>
      <c r="F3" s="414"/>
      <c r="G3" s="414"/>
      <c r="H3" s="414"/>
      <c r="I3" s="414"/>
      <c r="J3" s="414"/>
      <c r="K3" s="414"/>
      <c r="L3" s="414"/>
      <c r="M3" s="273"/>
    </row>
    <row r="4" spans="1:18" s="9" customFormat="1" ht="21.75" customHeight="1">
      <c r="A4" s="425" t="s">
        <v>85</v>
      </c>
      <c r="B4" s="425" t="s">
        <v>539</v>
      </c>
      <c r="C4" s="694" t="s">
        <v>600</v>
      </c>
      <c r="D4" s="694"/>
      <c r="E4" s="693" t="s">
        <v>85</v>
      </c>
      <c r="F4" s="693"/>
      <c r="G4" s="694" t="s">
        <v>574</v>
      </c>
      <c r="H4" s="694" t="s">
        <v>566</v>
      </c>
      <c r="I4" s="694"/>
      <c r="J4" s="426" t="s">
        <v>589</v>
      </c>
      <c r="K4" s="426" t="s">
        <v>864</v>
      </c>
      <c r="L4" s="426" t="s">
        <v>852</v>
      </c>
      <c r="M4" s="427" t="s">
        <v>576</v>
      </c>
      <c r="O4" s="430" t="s">
        <v>604</v>
      </c>
      <c r="P4" s="430"/>
      <c r="Q4" s="430"/>
      <c r="R4" s="430"/>
    </row>
    <row r="5" spans="1:18" s="9" customFormat="1" ht="30.75" customHeight="1">
      <c r="A5" s="428"/>
      <c r="B5" s="428"/>
      <c r="C5" s="429" t="s">
        <v>601</v>
      </c>
      <c r="D5" s="429" t="s">
        <v>602</v>
      </c>
      <c r="E5" s="429" t="s">
        <v>540</v>
      </c>
      <c r="F5" s="429" t="s">
        <v>541</v>
      </c>
      <c r="G5" s="695"/>
      <c r="H5" s="429" t="s">
        <v>567</v>
      </c>
      <c r="I5" s="429" t="s">
        <v>605</v>
      </c>
      <c r="J5" s="429" t="s">
        <v>854</v>
      </c>
      <c r="K5" s="429" t="s">
        <v>854</v>
      </c>
      <c r="L5" s="429" t="s">
        <v>853</v>
      </c>
      <c r="M5" s="428"/>
      <c r="O5" s="430"/>
      <c r="P5" s="430"/>
      <c r="Q5" s="430"/>
      <c r="R5" s="430"/>
    </row>
    <row r="6" spans="1:18">
      <c r="A6" s="273" t="s">
        <v>183</v>
      </c>
      <c r="B6" s="273"/>
      <c r="C6" s="413">
        <v>1000</v>
      </c>
      <c r="D6" s="413"/>
      <c r="E6" s="414"/>
      <c r="F6" s="414"/>
      <c r="G6" s="414"/>
      <c r="H6" s="414"/>
      <c r="I6" s="414"/>
      <c r="J6" s="415"/>
      <c r="K6" s="415"/>
      <c r="L6" s="415"/>
      <c r="M6" s="273"/>
      <c r="O6" s="393">
        <v>1</v>
      </c>
    </row>
    <row r="7" spans="1:18">
      <c r="A7" s="407" t="s">
        <v>544</v>
      </c>
      <c r="B7" s="416" t="s">
        <v>543</v>
      </c>
      <c r="C7" s="288">
        <v>11.5</v>
      </c>
      <c r="D7" s="288">
        <v>500</v>
      </c>
      <c r="E7" s="289" t="s">
        <v>59</v>
      </c>
      <c r="F7" s="289"/>
      <c r="G7" s="287" t="s">
        <v>569</v>
      </c>
      <c r="H7" s="289" t="s">
        <v>568</v>
      </c>
      <c r="I7" s="289">
        <v>65</v>
      </c>
      <c r="J7" s="417"/>
      <c r="K7" s="417"/>
      <c r="L7" s="418"/>
      <c r="M7" s="416" t="s">
        <v>637</v>
      </c>
      <c r="O7" s="393">
        <v>11</v>
      </c>
    </row>
    <row r="8" spans="1:18">
      <c r="A8" s="404" t="s">
        <v>545</v>
      </c>
      <c r="B8" s="419" t="s">
        <v>543</v>
      </c>
      <c r="C8" s="405">
        <v>11.5</v>
      </c>
      <c r="D8" s="405">
        <v>500</v>
      </c>
      <c r="E8" s="259" t="s">
        <v>59</v>
      </c>
      <c r="F8" s="259"/>
      <c r="G8" s="259" t="s">
        <v>569</v>
      </c>
      <c r="H8" s="259" t="s">
        <v>568</v>
      </c>
      <c r="I8" s="259">
        <v>65</v>
      </c>
      <c r="J8" s="420">
        <v>11.5</v>
      </c>
      <c r="K8" s="420"/>
      <c r="L8" s="421"/>
      <c r="M8" s="419" t="s">
        <v>638</v>
      </c>
    </row>
    <row r="9" spans="1:18">
      <c r="A9" s="404" t="s">
        <v>547</v>
      </c>
      <c r="B9" s="419" t="s">
        <v>543</v>
      </c>
      <c r="C9" s="405">
        <v>11.5</v>
      </c>
      <c r="D9" s="405">
        <v>500</v>
      </c>
      <c r="E9" s="259" t="s">
        <v>59</v>
      </c>
      <c r="F9" s="259"/>
      <c r="G9" s="259" t="s">
        <v>570</v>
      </c>
      <c r="H9" s="258" t="s">
        <v>568</v>
      </c>
      <c r="I9" s="259">
        <v>65</v>
      </c>
      <c r="J9" s="420">
        <v>10.5</v>
      </c>
      <c r="K9" s="420"/>
      <c r="L9" s="421"/>
      <c r="M9" s="419" t="s">
        <v>639</v>
      </c>
    </row>
    <row r="10" spans="1:18">
      <c r="A10" s="404" t="s">
        <v>546</v>
      </c>
      <c r="B10" s="419" t="s">
        <v>543</v>
      </c>
      <c r="C10" s="405">
        <v>11.5</v>
      </c>
      <c r="D10" s="405">
        <v>500</v>
      </c>
      <c r="E10" s="259"/>
      <c r="F10" s="259" t="s">
        <v>59</v>
      </c>
      <c r="G10" s="258" t="s">
        <v>571</v>
      </c>
      <c r="H10" s="258" t="s">
        <v>572</v>
      </c>
      <c r="I10" s="259">
        <v>100</v>
      </c>
      <c r="J10" s="420"/>
      <c r="K10" s="420"/>
      <c r="L10" s="421"/>
      <c r="M10" s="419" t="s">
        <v>640</v>
      </c>
      <c r="R10" s="393" t="s">
        <v>542</v>
      </c>
    </row>
    <row r="11" spans="1:18">
      <c r="A11" s="404" t="s">
        <v>549</v>
      </c>
      <c r="B11" s="419" t="s">
        <v>543</v>
      </c>
      <c r="C11" s="405">
        <v>11.5</v>
      </c>
      <c r="D11" s="405">
        <v>500</v>
      </c>
      <c r="E11" s="259"/>
      <c r="F11" s="259" t="s">
        <v>59</v>
      </c>
      <c r="G11" s="258" t="s">
        <v>571</v>
      </c>
      <c r="H11" s="258" t="s">
        <v>572</v>
      </c>
      <c r="I11" s="259">
        <v>100</v>
      </c>
      <c r="J11" s="420"/>
      <c r="K11" s="420"/>
      <c r="L11" s="421"/>
      <c r="M11" s="419" t="s">
        <v>643</v>
      </c>
    </row>
    <row r="12" spans="1:18">
      <c r="A12" s="404" t="s">
        <v>548</v>
      </c>
      <c r="B12" s="419" t="s">
        <v>543</v>
      </c>
      <c r="C12" s="405">
        <v>11.5</v>
      </c>
      <c r="D12" s="405">
        <v>500</v>
      </c>
      <c r="E12" s="259" t="s">
        <v>59</v>
      </c>
      <c r="F12" s="259"/>
      <c r="G12" s="258" t="s">
        <v>575</v>
      </c>
      <c r="H12" s="258" t="s">
        <v>568</v>
      </c>
      <c r="I12" s="259">
        <v>65</v>
      </c>
      <c r="J12" s="420" t="s">
        <v>599</v>
      </c>
      <c r="K12" s="420"/>
      <c r="L12" s="421"/>
      <c r="M12" s="419" t="s">
        <v>641</v>
      </c>
    </row>
    <row r="13" spans="1:18">
      <c r="A13" s="404" t="s">
        <v>550</v>
      </c>
      <c r="B13" s="419" t="s">
        <v>543</v>
      </c>
      <c r="C13" s="405">
        <v>11.5</v>
      </c>
      <c r="D13" s="405">
        <v>500</v>
      </c>
      <c r="E13" s="259" t="s">
        <v>59</v>
      </c>
      <c r="F13" s="259"/>
      <c r="G13" s="258" t="s">
        <v>573</v>
      </c>
      <c r="H13" s="258" t="s">
        <v>568</v>
      </c>
      <c r="I13" s="259">
        <v>65</v>
      </c>
      <c r="J13" s="420"/>
      <c r="K13" s="420"/>
      <c r="L13" s="421"/>
      <c r="M13" s="419" t="s">
        <v>577</v>
      </c>
    </row>
    <row r="14" spans="1:18">
      <c r="A14" s="404" t="s">
        <v>551</v>
      </c>
      <c r="B14" s="419" t="s">
        <v>543</v>
      </c>
      <c r="C14" s="405">
        <v>11.5</v>
      </c>
      <c r="D14" s="405">
        <v>500</v>
      </c>
      <c r="E14" s="259" t="s">
        <v>59</v>
      </c>
      <c r="F14" s="259"/>
      <c r="G14" s="258" t="s">
        <v>575</v>
      </c>
      <c r="H14" s="258" t="s">
        <v>568</v>
      </c>
      <c r="I14" s="259">
        <v>65</v>
      </c>
      <c r="J14" s="420"/>
      <c r="K14" s="420"/>
      <c r="L14" s="421"/>
      <c r="M14" s="419" t="s">
        <v>642</v>
      </c>
    </row>
    <row r="15" spans="1:18">
      <c r="A15" s="404" t="s">
        <v>563</v>
      </c>
      <c r="B15" s="419" t="s">
        <v>543</v>
      </c>
      <c r="C15" s="405">
        <v>20</v>
      </c>
      <c r="D15" s="406" t="s">
        <v>77</v>
      </c>
      <c r="E15" s="259"/>
      <c r="F15" s="259"/>
      <c r="G15" s="258" t="s">
        <v>565</v>
      </c>
      <c r="H15" s="258" t="s">
        <v>578</v>
      </c>
      <c r="I15" s="259">
        <v>4.5</v>
      </c>
      <c r="J15" s="420"/>
      <c r="K15" s="420"/>
      <c r="L15" s="421"/>
      <c r="M15" s="419" t="s">
        <v>564</v>
      </c>
    </row>
    <row r="16" spans="1:18">
      <c r="A16" s="404"/>
      <c r="B16" s="419"/>
      <c r="C16" s="405"/>
      <c r="D16" s="405"/>
      <c r="E16" s="259"/>
      <c r="F16" s="259"/>
      <c r="G16" s="259"/>
      <c r="H16" s="259"/>
      <c r="I16" s="259"/>
      <c r="J16" s="420"/>
      <c r="K16" s="420"/>
      <c r="L16" s="421"/>
      <c r="M16" s="419"/>
    </row>
    <row r="17" spans="1:13">
      <c r="A17" s="404" t="s">
        <v>553</v>
      </c>
      <c r="B17" s="419" t="s">
        <v>552</v>
      </c>
      <c r="C17" s="405">
        <v>11</v>
      </c>
      <c r="D17" s="405">
        <v>500</v>
      </c>
      <c r="E17" s="259" t="s">
        <v>59</v>
      </c>
      <c r="F17" s="259"/>
      <c r="G17" s="258" t="s">
        <v>579</v>
      </c>
      <c r="H17" s="258" t="s">
        <v>580</v>
      </c>
      <c r="I17" s="259">
        <v>75</v>
      </c>
      <c r="J17" s="420">
        <v>13</v>
      </c>
      <c r="K17" s="420"/>
      <c r="L17" s="421">
        <v>4</v>
      </c>
      <c r="M17" s="419" t="s">
        <v>581</v>
      </c>
    </row>
    <row r="18" spans="1:13">
      <c r="A18" s="404" t="s">
        <v>858</v>
      </c>
      <c r="B18" s="419" t="s">
        <v>552</v>
      </c>
      <c r="C18" s="405">
        <v>11</v>
      </c>
      <c r="D18" s="405">
        <v>500</v>
      </c>
      <c r="E18" s="259" t="s">
        <v>59</v>
      </c>
      <c r="F18" s="259"/>
      <c r="G18" s="258" t="s">
        <v>859</v>
      </c>
      <c r="H18" s="258" t="s">
        <v>580</v>
      </c>
      <c r="I18" s="259">
        <v>75</v>
      </c>
      <c r="J18" s="420">
        <v>12</v>
      </c>
      <c r="K18" s="420"/>
      <c r="L18" s="421">
        <v>4</v>
      </c>
      <c r="M18" s="419" t="s">
        <v>860</v>
      </c>
    </row>
    <row r="19" spans="1:13">
      <c r="A19" s="404" t="s">
        <v>554</v>
      </c>
      <c r="B19" s="419" t="s">
        <v>552</v>
      </c>
      <c r="C19" s="405">
        <v>11</v>
      </c>
      <c r="D19" s="405">
        <v>500</v>
      </c>
      <c r="E19" s="259" t="s">
        <v>59</v>
      </c>
      <c r="F19" s="259"/>
      <c r="G19" s="258" t="s">
        <v>582</v>
      </c>
      <c r="H19" s="258" t="s">
        <v>580</v>
      </c>
      <c r="I19" s="259">
        <v>75</v>
      </c>
      <c r="J19" s="420">
        <v>14</v>
      </c>
      <c r="K19" s="420"/>
      <c r="L19" s="421">
        <v>4</v>
      </c>
      <c r="M19" s="419" t="s">
        <v>583</v>
      </c>
    </row>
    <row r="20" spans="1:13">
      <c r="A20" s="404" t="s">
        <v>555</v>
      </c>
      <c r="B20" s="419" t="s">
        <v>552</v>
      </c>
      <c r="C20" s="405">
        <v>11</v>
      </c>
      <c r="D20" s="405">
        <v>500</v>
      </c>
      <c r="E20" s="259" t="s">
        <v>59</v>
      </c>
      <c r="F20" s="259"/>
      <c r="G20" s="258" t="s">
        <v>585</v>
      </c>
      <c r="H20" s="258" t="s">
        <v>580</v>
      </c>
      <c r="I20" s="259">
        <v>75</v>
      </c>
      <c r="J20" s="420">
        <v>9</v>
      </c>
      <c r="K20" s="420"/>
      <c r="L20" s="421">
        <v>4</v>
      </c>
      <c r="M20" s="419" t="s">
        <v>584</v>
      </c>
    </row>
    <row r="21" spans="1:13">
      <c r="A21" s="404" t="s">
        <v>556</v>
      </c>
      <c r="B21" s="419" t="s">
        <v>552</v>
      </c>
      <c r="C21" s="405">
        <v>11</v>
      </c>
      <c r="D21" s="405">
        <v>500</v>
      </c>
      <c r="E21" s="259" t="s">
        <v>59</v>
      </c>
      <c r="F21" s="259"/>
      <c r="G21" s="258" t="s">
        <v>587</v>
      </c>
      <c r="H21" s="258" t="s">
        <v>580</v>
      </c>
      <c r="I21" s="259">
        <v>75</v>
      </c>
      <c r="J21" s="420">
        <v>15</v>
      </c>
      <c r="K21" s="420"/>
      <c r="L21" s="421">
        <v>4</v>
      </c>
      <c r="M21" s="419" t="s">
        <v>586</v>
      </c>
    </row>
    <row r="22" spans="1:13">
      <c r="A22" s="404" t="s">
        <v>557</v>
      </c>
      <c r="B22" s="419" t="s">
        <v>552</v>
      </c>
      <c r="C22" s="405">
        <v>11</v>
      </c>
      <c r="D22" s="405">
        <v>500</v>
      </c>
      <c r="E22" s="259" t="s">
        <v>59</v>
      </c>
      <c r="F22" s="259"/>
      <c r="G22" s="258" t="s">
        <v>579</v>
      </c>
      <c r="H22" s="258" t="s">
        <v>580</v>
      </c>
      <c r="I22" s="259">
        <v>75</v>
      </c>
      <c r="J22" s="420">
        <v>9</v>
      </c>
      <c r="K22" s="420"/>
      <c r="L22" s="421">
        <v>3</v>
      </c>
      <c r="M22" s="419" t="s">
        <v>588</v>
      </c>
    </row>
    <row r="23" spans="1:13">
      <c r="A23" s="404" t="s">
        <v>862</v>
      </c>
      <c r="B23" s="419" t="s">
        <v>552</v>
      </c>
      <c r="C23" s="405">
        <v>11</v>
      </c>
      <c r="D23" s="405">
        <v>500</v>
      </c>
      <c r="E23" s="259"/>
      <c r="F23" s="259"/>
      <c r="G23" s="258" t="s">
        <v>863</v>
      </c>
      <c r="H23" s="258" t="s">
        <v>580</v>
      </c>
      <c r="I23" s="259">
        <v>75</v>
      </c>
      <c r="J23" s="420">
        <v>9</v>
      </c>
      <c r="K23" s="420"/>
      <c r="L23" s="421">
        <v>3</v>
      </c>
      <c r="M23" s="419" t="s">
        <v>2025</v>
      </c>
    </row>
    <row r="24" spans="1:13">
      <c r="A24" s="404" t="s">
        <v>558</v>
      </c>
      <c r="B24" s="419" t="s">
        <v>552</v>
      </c>
      <c r="C24" s="405">
        <v>11</v>
      </c>
      <c r="D24" s="405">
        <v>500</v>
      </c>
      <c r="E24" s="259" t="s">
        <v>59</v>
      </c>
      <c r="F24" s="259"/>
      <c r="G24" s="258" t="s">
        <v>32</v>
      </c>
      <c r="H24" s="258" t="s">
        <v>580</v>
      </c>
      <c r="I24" s="259">
        <v>75</v>
      </c>
      <c r="J24" s="420">
        <v>12</v>
      </c>
      <c r="K24" s="420"/>
      <c r="L24" s="421">
        <v>3</v>
      </c>
      <c r="M24" s="419" t="s">
        <v>861</v>
      </c>
    </row>
    <row r="25" spans="1:13">
      <c r="A25" s="404"/>
      <c r="B25" s="419"/>
      <c r="C25" s="405"/>
      <c r="D25" s="405"/>
      <c r="E25" s="259"/>
      <c r="F25" s="259"/>
      <c r="G25" s="258"/>
      <c r="H25" s="258"/>
      <c r="I25" s="259"/>
      <c r="J25" s="420"/>
      <c r="K25" s="420"/>
      <c r="L25" s="421"/>
      <c r="M25" s="419"/>
    </row>
    <row r="26" spans="1:13">
      <c r="A26" s="404" t="s">
        <v>2048</v>
      </c>
      <c r="B26" s="419" t="s">
        <v>1986</v>
      </c>
      <c r="C26" s="405">
        <v>10</v>
      </c>
      <c r="D26" s="405"/>
      <c r="E26" s="259" t="s">
        <v>59</v>
      </c>
      <c r="F26" s="259"/>
      <c r="G26" s="258" t="s">
        <v>2049</v>
      </c>
      <c r="H26" s="258" t="s">
        <v>580</v>
      </c>
      <c r="I26" s="259">
        <v>75</v>
      </c>
      <c r="J26" s="420"/>
      <c r="K26" s="420" t="s">
        <v>2006</v>
      </c>
      <c r="L26" s="421"/>
      <c r="M26" s="273" t="s">
        <v>2050</v>
      </c>
    </row>
    <row r="27" spans="1:13">
      <c r="A27" s="404" t="s">
        <v>2008</v>
      </c>
      <c r="B27" s="419" t="s">
        <v>1986</v>
      </c>
      <c r="C27" s="405">
        <v>10</v>
      </c>
      <c r="D27" s="405"/>
      <c r="E27" s="259" t="s">
        <v>59</v>
      </c>
      <c r="F27" s="259"/>
      <c r="G27" s="259" t="s">
        <v>123</v>
      </c>
      <c r="H27" s="259" t="s">
        <v>1987</v>
      </c>
      <c r="I27" s="259">
        <v>75</v>
      </c>
      <c r="J27" s="420"/>
      <c r="K27" s="420" t="s">
        <v>2000</v>
      </c>
      <c r="L27" s="421"/>
      <c r="M27" s="419" t="s">
        <v>2024</v>
      </c>
    </row>
    <row r="28" spans="1:13">
      <c r="A28" s="404" t="s">
        <v>1990</v>
      </c>
      <c r="B28" s="419" t="s">
        <v>1986</v>
      </c>
      <c r="C28" s="405">
        <v>10</v>
      </c>
      <c r="D28" s="405">
        <v>250</v>
      </c>
      <c r="E28" s="259" t="s">
        <v>59</v>
      </c>
      <c r="F28" s="259"/>
      <c r="G28" s="258" t="s">
        <v>384</v>
      </c>
      <c r="H28" s="259" t="s">
        <v>1987</v>
      </c>
      <c r="I28" s="259">
        <v>75</v>
      </c>
      <c r="J28" s="420"/>
      <c r="K28" s="420" t="s">
        <v>1991</v>
      </c>
      <c r="L28" s="421"/>
      <c r="M28" s="419" t="s">
        <v>1992</v>
      </c>
    </row>
    <row r="29" spans="1:13">
      <c r="A29" s="404" t="s">
        <v>1999</v>
      </c>
      <c r="B29" s="419" t="s">
        <v>1986</v>
      </c>
      <c r="C29" s="405">
        <v>10</v>
      </c>
      <c r="D29" s="405">
        <v>250</v>
      </c>
      <c r="E29" s="259" t="s">
        <v>59</v>
      </c>
      <c r="F29" s="259"/>
      <c r="G29" s="259" t="s">
        <v>1994</v>
      </c>
      <c r="H29" s="259" t="s">
        <v>1987</v>
      </c>
      <c r="I29" s="259">
        <v>75</v>
      </c>
      <c r="J29" s="420">
        <v>8</v>
      </c>
      <c r="K29" s="420" t="s">
        <v>2000</v>
      </c>
      <c r="L29" s="421"/>
      <c r="M29" s="419" t="s">
        <v>2028</v>
      </c>
    </row>
    <row r="30" spans="1:13">
      <c r="A30" s="404" t="s">
        <v>2009</v>
      </c>
      <c r="B30" s="419" t="s">
        <v>1986</v>
      </c>
      <c r="C30" s="405">
        <v>10</v>
      </c>
      <c r="D30" s="405"/>
      <c r="E30" s="259" t="s">
        <v>59</v>
      </c>
      <c r="F30" s="259"/>
      <c r="G30" s="259" t="s">
        <v>2010</v>
      </c>
      <c r="H30" s="259" t="s">
        <v>1987</v>
      </c>
      <c r="I30" s="259">
        <v>75</v>
      </c>
      <c r="J30" s="420" t="s">
        <v>2011</v>
      </c>
      <c r="K30" s="420" t="s">
        <v>2012</v>
      </c>
      <c r="L30" s="421"/>
      <c r="M30" s="419" t="s">
        <v>2013</v>
      </c>
    </row>
    <row r="31" spans="1:13">
      <c r="A31" s="404" t="s">
        <v>1997</v>
      </c>
      <c r="B31" s="419" t="s">
        <v>1986</v>
      </c>
      <c r="C31" s="405">
        <v>10</v>
      </c>
      <c r="D31" s="405">
        <v>250</v>
      </c>
      <c r="E31" s="259" t="s">
        <v>59</v>
      </c>
      <c r="F31" s="259"/>
      <c r="G31" s="259" t="s">
        <v>119</v>
      </c>
      <c r="H31" s="259" t="s">
        <v>1987</v>
      </c>
      <c r="I31" s="259">
        <v>75</v>
      </c>
      <c r="J31" s="420">
        <v>10</v>
      </c>
      <c r="K31" s="420" t="s">
        <v>1996</v>
      </c>
      <c r="L31" s="421"/>
      <c r="M31" s="419" t="s">
        <v>1998</v>
      </c>
    </row>
    <row r="32" spans="1:13">
      <c r="A32" s="404" t="s">
        <v>2014</v>
      </c>
      <c r="B32" s="419" t="s">
        <v>1986</v>
      </c>
      <c r="C32" s="405">
        <v>10</v>
      </c>
      <c r="D32" s="405">
        <v>250</v>
      </c>
      <c r="E32" s="259" t="s">
        <v>59</v>
      </c>
      <c r="F32" s="259"/>
      <c r="G32" s="259" t="s">
        <v>2015</v>
      </c>
      <c r="H32" s="259" t="s">
        <v>1987</v>
      </c>
      <c r="I32" s="259">
        <v>75</v>
      </c>
      <c r="J32" s="420"/>
      <c r="K32" s="420" t="s">
        <v>2016</v>
      </c>
      <c r="L32" s="421"/>
      <c r="M32" s="419" t="s">
        <v>2017</v>
      </c>
    </row>
    <row r="33" spans="1:13">
      <c r="A33" s="404" t="s">
        <v>2018</v>
      </c>
      <c r="B33" s="419" t="s">
        <v>1986</v>
      </c>
      <c r="C33" s="405">
        <v>10</v>
      </c>
      <c r="D33" s="405">
        <v>250</v>
      </c>
      <c r="E33" s="259" t="s">
        <v>59</v>
      </c>
      <c r="F33" s="259"/>
      <c r="G33" s="259" t="s">
        <v>371</v>
      </c>
      <c r="H33" s="259" t="s">
        <v>1987</v>
      </c>
      <c r="I33" s="259">
        <v>75</v>
      </c>
      <c r="J33" s="420"/>
      <c r="K33" s="420" t="s">
        <v>2006</v>
      </c>
      <c r="L33" s="421"/>
      <c r="M33" s="419" t="s">
        <v>2019</v>
      </c>
    </row>
    <row r="34" spans="1:13">
      <c r="A34" s="404" t="s">
        <v>2020</v>
      </c>
      <c r="B34" s="419" t="s">
        <v>1986</v>
      </c>
      <c r="C34" s="405">
        <v>10</v>
      </c>
      <c r="D34" s="405">
        <v>250</v>
      </c>
      <c r="E34" s="259" t="s">
        <v>59</v>
      </c>
      <c r="F34" s="259"/>
      <c r="G34" s="259" t="s">
        <v>371</v>
      </c>
      <c r="H34" s="259" t="s">
        <v>1987</v>
      </c>
      <c r="I34" s="259">
        <v>75</v>
      </c>
      <c r="J34" s="420"/>
      <c r="K34" s="420" t="s">
        <v>2021</v>
      </c>
      <c r="L34" s="421"/>
      <c r="M34" s="419" t="s">
        <v>2022</v>
      </c>
    </row>
    <row r="35" spans="1:13">
      <c r="A35" s="404" t="s">
        <v>1993</v>
      </c>
      <c r="B35" s="419" t="s">
        <v>1986</v>
      </c>
      <c r="C35" s="405">
        <v>10</v>
      </c>
      <c r="D35" s="405">
        <v>250</v>
      </c>
      <c r="E35" s="259" t="s">
        <v>59</v>
      </c>
      <c r="F35" s="259"/>
      <c r="G35" s="259" t="s">
        <v>1994</v>
      </c>
      <c r="H35" s="259" t="s">
        <v>1987</v>
      </c>
      <c r="I35" s="259">
        <v>75</v>
      </c>
      <c r="J35" s="420">
        <v>8</v>
      </c>
      <c r="K35" s="420" t="s">
        <v>1995</v>
      </c>
      <c r="L35" s="421"/>
      <c r="M35" s="419" t="s">
        <v>2023</v>
      </c>
    </row>
    <row r="36" spans="1:13">
      <c r="A36" s="404" t="s">
        <v>2004</v>
      </c>
      <c r="B36" s="419" t="s">
        <v>1986</v>
      </c>
      <c r="C36" s="405">
        <v>10</v>
      </c>
      <c r="D36" s="405">
        <v>250</v>
      </c>
      <c r="E36" s="259"/>
      <c r="F36" s="259" t="s">
        <v>59</v>
      </c>
      <c r="G36" s="258" t="s">
        <v>2005</v>
      </c>
      <c r="H36" s="259" t="s">
        <v>1987</v>
      </c>
      <c r="I36" s="259">
        <v>75</v>
      </c>
      <c r="J36" s="420">
        <v>9</v>
      </c>
      <c r="K36" s="420" t="s">
        <v>2006</v>
      </c>
      <c r="L36" s="421"/>
      <c r="M36" s="419" t="s">
        <v>2007</v>
      </c>
    </row>
    <row r="37" spans="1:13">
      <c r="A37" s="404" t="s">
        <v>1985</v>
      </c>
      <c r="B37" s="419" t="s">
        <v>1986</v>
      </c>
      <c r="C37" s="405">
        <v>10</v>
      </c>
      <c r="D37" s="405"/>
      <c r="E37" s="259"/>
      <c r="F37" s="259" t="s">
        <v>59</v>
      </c>
      <c r="G37" s="590" t="s">
        <v>308</v>
      </c>
      <c r="H37" s="259" t="s">
        <v>1987</v>
      </c>
      <c r="I37" s="259">
        <v>75</v>
      </c>
      <c r="J37" s="420"/>
      <c r="K37" s="420" t="s">
        <v>1988</v>
      </c>
      <c r="L37" s="421"/>
      <c r="M37" s="419" t="s">
        <v>1989</v>
      </c>
    </row>
    <row r="38" spans="1:13">
      <c r="A38" s="404" t="s">
        <v>2001</v>
      </c>
      <c r="B38" s="419" t="s">
        <v>1986</v>
      </c>
      <c r="C38" s="405">
        <v>10</v>
      </c>
      <c r="D38" s="405"/>
      <c r="E38" s="259"/>
      <c r="F38" s="259" t="s">
        <v>59</v>
      </c>
      <c r="G38" s="590" t="s">
        <v>595</v>
      </c>
      <c r="H38" s="259" t="s">
        <v>1987</v>
      </c>
      <c r="I38" s="259">
        <v>75</v>
      </c>
      <c r="J38" s="420">
        <v>8</v>
      </c>
      <c r="K38" s="420" t="s">
        <v>2002</v>
      </c>
      <c r="L38" s="421"/>
      <c r="M38" s="419" t="s">
        <v>2003</v>
      </c>
    </row>
    <row r="39" spans="1:13">
      <c r="A39" s="404"/>
      <c r="B39" s="419"/>
      <c r="C39" s="405"/>
      <c r="D39" s="405"/>
      <c r="E39" s="259"/>
      <c r="F39" s="259"/>
      <c r="G39" s="258"/>
      <c r="H39" s="259"/>
      <c r="I39" s="259"/>
      <c r="J39" s="420"/>
      <c r="K39" s="420"/>
      <c r="L39" s="421"/>
      <c r="M39" s="419"/>
    </row>
    <row r="40" spans="1:13">
      <c r="A40" s="404" t="s">
        <v>559</v>
      </c>
      <c r="B40" s="419" t="s">
        <v>590</v>
      </c>
      <c r="C40" s="405">
        <v>12</v>
      </c>
      <c r="D40" s="405">
        <v>100</v>
      </c>
      <c r="E40" s="259" t="s">
        <v>59</v>
      </c>
      <c r="F40" s="259"/>
      <c r="G40" s="258" t="s">
        <v>592</v>
      </c>
      <c r="H40" s="259" t="s">
        <v>568</v>
      </c>
      <c r="I40" s="259">
        <v>70</v>
      </c>
      <c r="J40" s="420"/>
      <c r="K40" s="420"/>
      <c r="L40" s="421"/>
      <c r="M40" s="419" t="s">
        <v>593</v>
      </c>
    </row>
    <row r="41" spans="1:13">
      <c r="A41" s="404" t="s">
        <v>84</v>
      </c>
      <c r="B41" s="419" t="s">
        <v>590</v>
      </c>
      <c r="C41" s="405">
        <v>6</v>
      </c>
      <c r="D41" s="405">
        <v>100</v>
      </c>
      <c r="E41" s="259" t="s">
        <v>59</v>
      </c>
      <c r="F41" s="259"/>
      <c r="G41" s="258" t="s">
        <v>123</v>
      </c>
      <c r="H41" s="258" t="s">
        <v>317</v>
      </c>
      <c r="I41" s="259">
        <v>45</v>
      </c>
      <c r="J41" s="420"/>
      <c r="K41" s="420"/>
      <c r="L41" s="421"/>
      <c r="M41" s="419" t="s">
        <v>594</v>
      </c>
    </row>
    <row r="42" spans="1:13">
      <c r="A42" s="404" t="s">
        <v>591</v>
      </c>
      <c r="B42" s="419" t="s">
        <v>590</v>
      </c>
      <c r="C42" s="405">
        <v>12</v>
      </c>
      <c r="D42" s="405">
        <v>100</v>
      </c>
      <c r="E42" s="259"/>
      <c r="F42" s="259" t="s">
        <v>59</v>
      </c>
      <c r="G42" s="258" t="s">
        <v>595</v>
      </c>
      <c r="H42" s="258" t="s">
        <v>317</v>
      </c>
      <c r="I42" s="259">
        <v>45</v>
      </c>
      <c r="J42" s="420"/>
      <c r="K42" s="420"/>
      <c r="L42" s="421"/>
      <c r="M42" s="419" t="s">
        <v>596</v>
      </c>
    </row>
    <row r="43" spans="1:13">
      <c r="A43" s="404"/>
      <c r="B43" s="419"/>
      <c r="C43" s="405"/>
      <c r="D43" s="405"/>
      <c r="E43" s="259"/>
      <c r="F43" s="259"/>
      <c r="G43" s="259"/>
      <c r="H43" s="259"/>
      <c r="I43" s="259"/>
      <c r="J43" s="420"/>
      <c r="K43" s="420"/>
      <c r="L43" s="421"/>
      <c r="M43" s="419"/>
    </row>
    <row r="44" spans="1:13">
      <c r="A44" s="404" t="s">
        <v>561</v>
      </c>
      <c r="B44" s="419" t="s">
        <v>562</v>
      </c>
      <c r="C44" s="405">
        <v>12.5</v>
      </c>
      <c r="D44" s="405"/>
      <c r="E44" s="259" t="s">
        <v>59</v>
      </c>
      <c r="F44" s="259"/>
      <c r="G44" s="258" t="s">
        <v>597</v>
      </c>
      <c r="H44" s="258" t="s">
        <v>568</v>
      </c>
      <c r="I44" s="259">
        <v>65</v>
      </c>
      <c r="J44" s="420">
        <v>9.5</v>
      </c>
      <c r="K44" s="420"/>
      <c r="L44" s="421"/>
      <c r="M44" s="419" t="s">
        <v>598</v>
      </c>
    </row>
    <row r="45" spans="1:13">
      <c r="A45" s="404"/>
      <c r="B45" s="419"/>
      <c r="C45" s="405"/>
      <c r="D45" s="405"/>
      <c r="E45" s="259"/>
      <c r="F45" s="259"/>
      <c r="G45" s="258"/>
      <c r="H45" s="258"/>
      <c r="I45" s="259"/>
      <c r="J45" s="420"/>
      <c r="K45" s="420"/>
      <c r="L45" s="421"/>
      <c r="M45" s="419"/>
    </row>
    <row r="46" spans="1:13">
      <c r="A46" s="404"/>
      <c r="B46" s="419"/>
      <c r="C46" s="405"/>
      <c r="D46" s="405"/>
      <c r="E46" s="259"/>
      <c r="F46" s="259"/>
      <c r="G46" s="259"/>
      <c r="H46" s="259"/>
      <c r="I46" s="259"/>
      <c r="J46" s="420"/>
      <c r="K46" s="420"/>
      <c r="L46" s="421"/>
      <c r="M46" s="419"/>
    </row>
    <row r="47" spans="1:13">
      <c r="A47" s="404"/>
      <c r="B47" s="419"/>
      <c r="C47" s="405"/>
      <c r="D47" s="405"/>
      <c r="E47" s="259"/>
      <c r="F47" s="259"/>
      <c r="G47" s="259"/>
      <c r="H47" s="259"/>
      <c r="I47" s="259"/>
      <c r="J47" s="420"/>
      <c r="K47" s="420"/>
      <c r="L47" s="421"/>
      <c r="M47" s="419"/>
    </row>
    <row r="48" spans="1:13">
      <c r="A48" s="404"/>
      <c r="B48" s="419"/>
      <c r="C48" s="405"/>
      <c r="D48" s="405"/>
      <c r="E48" s="259"/>
      <c r="F48" s="259"/>
      <c r="G48" s="259"/>
      <c r="H48" s="259"/>
      <c r="I48" s="259"/>
      <c r="J48" s="420"/>
      <c r="K48" s="420"/>
      <c r="L48" s="421"/>
      <c r="M48" s="419"/>
    </row>
    <row r="49" spans="1:13">
      <c r="A49" s="404"/>
      <c r="B49" s="419"/>
      <c r="C49" s="405"/>
      <c r="D49" s="405"/>
      <c r="E49" s="259"/>
      <c r="F49" s="259"/>
      <c r="G49" s="259"/>
      <c r="H49" s="259"/>
      <c r="I49" s="259"/>
      <c r="J49" s="420"/>
      <c r="K49" s="420"/>
      <c r="L49" s="421"/>
      <c r="M49" s="419"/>
    </row>
    <row r="50" spans="1:13">
      <c r="A50" s="404"/>
      <c r="B50" s="419"/>
      <c r="C50" s="405"/>
      <c r="D50" s="405"/>
      <c r="E50" s="259"/>
      <c r="F50" s="259"/>
      <c r="G50" s="259"/>
      <c r="H50" s="259"/>
      <c r="I50" s="259"/>
      <c r="J50" s="420"/>
      <c r="K50" s="420"/>
      <c r="L50" s="421"/>
      <c r="M50" s="419"/>
    </row>
    <row r="51" spans="1:13">
      <c r="A51" s="404"/>
      <c r="B51" s="419"/>
      <c r="C51" s="405"/>
      <c r="D51" s="405"/>
      <c r="E51" s="259"/>
      <c r="F51" s="259"/>
      <c r="G51" s="259"/>
      <c r="H51" s="259"/>
      <c r="I51" s="259"/>
      <c r="J51" s="420"/>
      <c r="K51" s="420"/>
      <c r="L51" s="421"/>
      <c r="M51" s="419"/>
    </row>
    <row r="52" spans="1:13">
      <c r="A52" s="404"/>
      <c r="B52" s="419"/>
      <c r="C52" s="405"/>
      <c r="D52" s="405"/>
      <c r="E52" s="259"/>
      <c r="F52" s="259"/>
      <c r="G52" s="259"/>
      <c r="H52" s="259"/>
      <c r="I52" s="259"/>
      <c r="J52" s="420"/>
      <c r="K52" s="420"/>
      <c r="L52" s="421"/>
      <c r="M52" s="419"/>
    </row>
    <row r="53" spans="1:13">
      <c r="A53" s="404"/>
      <c r="B53" s="419"/>
      <c r="C53" s="405"/>
      <c r="D53" s="405"/>
      <c r="E53" s="259"/>
      <c r="F53" s="259"/>
      <c r="G53" s="259"/>
      <c r="H53" s="259"/>
      <c r="I53" s="259"/>
      <c r="J53" s="420"/>
      <c r="K53" s="420"/>
      <c r="L53" s="420"/>
      <c r="M53" s="419"/>
    </row>
  </sheetData>
  <mergeCells count="4">
    <mergeCell ref="E4:F4"/>
    <mergeCell ref="G4:G5"/>
    <mergeCell ref="H4:I4"/>
    <mergeCell ref="C4:D4"/>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tabColor rgb="FFFDE555"/>
  </sheetPr>
  <dimension ref="A1:I51"/>
  <sheetViews>
    <sheetView showGridLines="0" workbookViewId="0">
      <selection activeCell="C17" sqref="C17"/>
    </sheetView>
  </sheetViews>
  <sheetFormatPr baseColWidth="10" defaultColWidth="11.42578125" defaultRowHeight="12.75"/>
  <cols>
    <col min="1" max="1" width="29.42578125" style="1" customWidth="1"/>
    <col min="2" max="2" width="7.42578125" style="2" customWidth="1"/>
    <col min="3" max="3" width="10.42578125" style="2" customWidth="1"/>
    <col min="4" max="4" width="13.85546875" style="2" customWidth="1"/>
    <col min="5" max="5" width="19.5703125" style="2" customWidth="1"/>
    <col min="6" max="6" width="13.85546875" style="2" customWidth="1"/>
    <col min="7" max="7" width="38.85546875" style="1" customWidth="1"/>
    <col min="8" max="8" width="11.42578125" style="1"/>
    <col min="9" max="9" width="11.42578125" style="393"/>
    <col min="10" max="16384" width="11.42578125" style="1"/>
  </cols>
  <sheetData>
    <row r="1" spans="1:9" ht="18.75">
      <c r="A1" s="412" t="s">
        <v>190</v>
      </c>
      <c r="B1" s="442"/>
      <c r="C1" s="442"/>
      <c r="D1" s="442"/>
      <c r="E1" s="442"/>
      <c r="F1" s="442"/>
      <c r="G1" s="412"/>
    </row>
    <row r="2" spans="1:9" ht="18.75">
      <c r="A2" s="412"/>
      <c r="B2" s="442"/>
      <c r="C2" s="442"/>
      <c r="D2" s="442"/>
      <c r="E2" s="442"/>
      <c r="F2" s="442"/>
      <c r="G2" s="412"/>
    </row>
    <row r="3" spans="1:9" s="6" customFormat="1" ht="15">
      <c r="A3" s="422"/>
      <c r="B3" s="423"/>
      <c r="C3" s="423"/>
      <c r="D3" s="423"/>
      <c r="E3" s="423"/>
      <c r="F3" s="423"/>
      <c r="G3" s="422"/>
      <c r="I3" s="443"/>
    </row>
    <row r="4" spans="1:9" s="6" customFormat="1" ht="15">
      <c r="A4" s="440" t="s">
        <v>606</v>
      </c>
      <c r="B4" s="441" t="s">
        <v>621</v>
      </c>
      <c r="C4" s="441" t="s">
        <v>566</v>
      </c>
      <c r="D4" s="696" t="s">
        <v>630</v>
      </c>
      <c r="E4" s="697"/>
      <c r="F4" s="698"/>
      <c r="G4" s="440" t="s">
        <v>619</v>
      </c>
      <c r="I4" s="443"/>
    </row>
    <row r="5" spans="1:9" s="6" customFormat="1" ht="27.95" customHeight="1">
      <c r="A5" s="436"/>
      <c r="B5" s="437" t="s">
        <v>82</v>
      </c>
      <c r="C5" s="437" t="s">
        <v>616</v>
      </c>
      <c r="D5" s="438" t="s">
        <v>631</v>
      </c>
      <c r="E5" s="438" t="s">
        <v>632</v>
      </c>
      <c r="F5" s="439" t="s">
        <v>191</v>
      </c>
      <c r="G5" s="436"/>
      <c r="I5" s="443"/>
    </row>
    <row r="6" spans="1:9">
      <c r="A6" s="273" t="s">
        <v>183</v>
      </c>
      <c r="B6" s="413"/>
      <c r="C6" s="413"/>
      <c r="D6" s="413"/>
      <c r="E6" s="413"/>
      <c r="F6" s="413"/>
      <c r="G6" s="273"/>
      <c r="I6" s="393">
        <v>1</v>
      </c>
    </row>
    <row r="7" spans="1:9">
      <c r="A7" s="431" t="s">
        <v>686</v>
      </c>
      <c r="B7" s="288"/>
      <c r="C7" s="288"/>
      <c r="D7" s="288"/>
      <c r="E7" s="288"/>
      <c r="F7" s="288"/>
      <c r="G7" s="432"/>
    </row>
    <row r="8" spans="1:9" ht="16.5" customHeight="1">
      <c r="A8" s="404" t="s">
        <v>480</v>
      </c>
      <c r="B8" s="405">
        <v>3</v>
      </c>
      <c r="C8" s="405"/>
      <c r="D8" s="405" t="s">
        <v>59</v>
      </c>
      <c r="E8" s="405"/>
      <c r="F8" s="405"/>
      <c r="G8" s="433"/>
    </row>
    <row r="9" spans="1:9" ht="16.5" customHeight="1">
      <c r="A9" s="404" t="s">
        <v>481</v>
      </c>
      <c r="B9" s="405">
        <v>3</v>
      </c>
      <c r="C9" s="405" t="s">
        <v>2029</v>
      </c>
      <c r="D9" s="405" t="s">
        <v>2041</v>
      </c>
      <c r="E9" s="405"/>
      <c r="F9" s="405"/>
      <c r="G9" s="433" t="s">
        <v>807</v>
      </c>
    </row>
    <row r="10" spans="1:9" ht="16.5" customHeight="1">
      <c r="A10" s="404" t="s">
        <v>482</v>
      </c>
      <c r="B10" s="405">
        <v>1</v>
      </c>
      <c r="C10" s="405" t="s">
        <v>2029</v>
      </c>
      <c r="D10" s="405" t="s">
        <v>2041</v>
      </c>
      <c r="E10" s="405"/>
      <c r="F10" s="405"/>
      <c r="G10" s="433" t="s">
        <v>618</v>
      </c>
    </row>
    <row r="11" spans="1:9" ht="16.5" customHeight="1">
      <c r="A11" s="404" t="s">
        <v>483</v>
      </c>
      <c r="B11" s="405">
        <v>4</v>
      </c>
      <c r="C11" s="405"/>
      <c r="D11" s="405" t="s">
        <v>59</v>
      </c>
      <c r="E11" s="405"/>
      <c r="F11" s="405"/>
      <c r="G11" s="433" t="s">
        <v>617</v>
      </c>
    </row>
    <row r="12" spans="1:9" ht="16.5" customHeight="1">
      <c r="A12" s="404" t="s">
        <v>484</v>
      </c>
      <c r="B12" s="405">
        <v>1</v>
      </c>
      <c r="C12" s="405"/>
      <c r="D12" s="405" t="s">
        <v>59</v>
      </c>
      <c r="E12" s="405"/>
      <c r="F12" s="405"/>
      <c r="G12" s="433" t="s">
        <v>618</v>
      </c>
    </row>
    <row r="13" spans="1:9" ht="16.5" customHeight="1">
      <c r="A13" s="404" t="s">
        <v>674</v>
      </c>
      <c r="B13" s="405">
        <v>1</v>
      </c>
      <c r="C13" s="405"/>
      <c r="D13" s="405" t="s">
        <v>59</v>
      </c>
      <c r="E13" s="405"/>
      <c r="F13" s="405"/>
      <c r="G13" s="433" t="s">
        <v>675</v>
      </c>
    </row>
    <row r="14" spans="1:9" ht="16.5" customHeight="1">
      <c r="A14" s="404"/>
      <c r="B14" s="405"/>
      <c r="C14" s="405"/>
      <c r="D14" s="405"/>
      <c r="E14" s="405"/>
      <c r="F14" s="405"/>
      <c r="G14" s="433"/>
      <c r="I14" s="393">
        <v>1</v>
      </c>
    </row>
    <row r="15" spans="1:9" ht="16.5" customHeight="1">
      <c r="A15" s="408" t="s">
        <v>615</v>
      </c>
      <c r="B15" s="434"/>
      <c r="C15" s="434"/>
      <c r="D15" s="434"/>
      <c r="E15" s="434"/>
      <c r="F15" s="434"/>
      <c r="G15" s="435"/>
      <c r="I15" s="393">
        <v>1</v>
      </c>
    </row>
    <row r="16" spans="1:9" ht="16.5" customHeight="1">
      <c r="A16" s="404" t="s">
        <v>197</v>
      </c>
      <c r="B16" s="405">
        <v>1</v>
      </c>
      <c r="C16" s="405">
        <v>20</v>
      </c>
      <c r="D16" s="405"/>
      <c r="E16" s="405" t="s">
        <v>840</v>
      </c>
      <c r="F16" s="405"/>
      <c r="G16" s="433" t="s">
        <v>676</v>
      </c>
    </row>
    <row r="17" spans="1:9" ht="16.5" customHeight="1">
      <c r="A17" s="404"/>
      <c r="B17" s="405"/>
      <c r="C17" s="405"/>
      <c r="D17" s="405"/>
      <c r="E17" s="405"/>
      <c r="F17" s="405"/>
      <c r="G17" s="433"/>
    </row>
    <row r="18" spans="1:9" ht="16.5" customHeight="1">
      <c r="A18" s="408" t="s">
        <v>628</v>
      </c>
      <c r="B18" s="434"/>
      <c r="C18" s="434"/>
      <c r="D18" s="434"/>
      <c r="E18" s="434"/>
      <c r="F18" s="434"/>
      <c r="G18" s="435"/>
      <c r="I18" s="393">
        <v>1</v>
      </c>
    </row>
    <row r="19" spans="1:9" ht="16.5" customHeight="1">
      <c r="A19" s="404" t="s">
        <v>488</v>
      </c>
      <c r="B19" s="405"/>
      <c r="C19" s="405"/>
      <c r="D19" s="405"/>
      <c r="E19" s="405"/>
      <c r="F19" s="405"/>
      <c r="G19" s="433" t="s">
        <v>618</v>
      </c>
    </row>
    <row r="20" spans="1:9" ht="16.5" customHeight="1">
      <c r="A20" s="404" t="s">
        <v>486</v>
      </c>
      <c r="B20" s="405">
        <v>425</v>
      </c>
      <c r="C20" s="405"/>
      <c r="D20" s="405" t="s">
        <v>59</v>
      </c>
      <c r="E20" s="405"/>
      <c r="F20" s="405"/>
      <c r="G20" s="433" t="s">
        <v>618</v>
      </c>
    </row>
    <row r="21" spans="1:9" ht="16.5" customHeight="1">
      <c r="A21" s="404" t="s">
        <v>487</v>
      </c>
      <c r="B21" s="405">
        <v>200</v>
      </c>
      <c r="C21" s="405"/>
      <c r="D21" s="405" t="s">
        <v>59</v>
      </c>
      <c r="E21" s="405"/>
      <c r="F21" s="405"/>
      <c r="G21" s="433" t="s">
        <v>618</v>
      </c>
    </row>
    <row r="22" spans="1:9" ht="16.5" customHeight="1">
      <c r="A22" s="404" t="s">
        <v>627</v>
      </c>
      <c r="B22" s="405">
        <v>90</v>
      </c>
      <c r="C22" s="405"/>
      <c r="D22" s="405" t="s">
        <v>59</v>
      </c>
      <c r="E22" s="405"/>
      <c r="F22" s="405"/>
      <c r="G22" s="433" t="s">
        <v>622</v>
      </c>
    </row>
    <row r="23" spans="1:9" ht="16.5" customHeight="1">
      <c r="A23" s="404" t="s">
        <v>625</v>
      </c>
      <c r="B23" s="405">
        <v>180</v>
      </c>
      <c r="C23" s="405"/>
      <c r="D23" s="405" t="s">
        <v>59</v>
      </c>
      <c r="E23" s="405"/>
      <c r="F23" s="405"/>
      <c r="G23" s="433" t="s">
        <v>623</v>
      </c>
    </row>
    <row r="24" spans="1:9" ht="16.5" customHeight="1">
      <c r="A24" s="404" t="s">
        <v>626</v>
      </c>
      <c r="B24" s="405">
        <v>360</v>
      </c>
      <c r="C24" s="405"/>
      <c r="D24" s="405" t="s">
        <v>59</v>
      </c>
      <c r="E24" s="405"/>
      <c r="F24" s="405"/>
      <c r="G24" s="433" t="s">
        <v>624</v>
      </c>
    </row>
    <row r="25" spans="1:9" ht="16.5" customHeight="1">
      <c r="A25" s="404" t="s">
        <v>677</v>
      </c>
      <c r="B25" s="405"/>
      <c r="C25" s="405"/>
      <c r="D25" s="405"/>
      <c r="E25" s="405"/>
      <c r="F25" s="405"/>
      <c r="G25" s="433"/>
    </row>
    <row r="26" spans="1:9" ht="16.5" customHeight="1">
      <c r="A26" s="404" t="s">
        <v>497</v>
      </c>
      <c r="B26" s="405">
        <v>7000</v>
      </c>
      <c r="C26" s="405"/>
      <c r="D26" s="405"/>
      <c r="E26" s="405"/>
      <c r="F26" s="405" t="s">
        <v>59</v>
      </c>
      <c r="G26" s="433" t="s">
        <v>633</v>
      </c>
    </row>
    <row r="27" spans="1:9" ht="16.5" customHeight="1">
      <c r="A27" s="404" t="s">
        <v>489</v>
      </c>
      <c r="B27" s="405"/>
      <c r="C27" s="405"/>
      <c r="D27" s="405"/>
      <c r="E27" s="405"/>
      <c r="F27" s="405"/>
      <c r="G27" s="433" t="s">
        <v>629</v>
      </c>
    </row>
    <row r="28" spans="1:9" ht="16.5" customHeight="1">
      <c r="A28" s="404"/>
      <c r="B28" s="405"/>
      <c r="C28" s="405"/>
      <c r="D28" s="405"/>
      <c r="E28" s="405"/>
      <c r="F28" s="405"/>
      <c r="G28" s="433"/>
    </row>
    <row r="29" spans="1:9" ht="16.5" customHeight="1">
      <c r="A29" s="408" t="s">
        <v>609</v>
      </c>
      <c r="B29" s="434"/>
      <c r="C29" s="434"/>
      <c r="D29" s="434"/>
      <c r="E29" s="434"/>
      <c r="F29" s="434"/>
      <c r="G29" s="435"/>
      <c r="I29" s="393">
        <v>1</v>
      </c>
    </row>
    <row r="30" spans="1:9" ht="16.5" customHeight="1">
      <c r="A30" s="404" t="s">
        <v>490</v>
      </c>
      <c r="B30" s="405"/>
      <c r="C30" s="405"/>
      <c r="D30" s="405" t="s">
        <v>59</v>
      </c>
      <c r="E30" s="405"/>
      <c r="F30" s="405"/>
      <c r="G30" s="433" t="s">
        <v>634</v>
      </c>
    </row>
    <row r="31" spans="1:9" ht="16.5" customHeight="1">
      <c r="A31" s="404" t="s">
        <v>491</v>
      </c>
      <c r="B31" s="405"/>
      <c r="C31" s="405"/>
      <c r="D31" s="405" t="s">
        <v>59</v>
      </c>
      <c r="E31" s="405"/>
      <c r="F31" s="405"/>
      <c r="G31" s="433" t="s">
        <v>634</v>
      </c>
    </row>
    <row r="32" spans="1:9" ht="16.5" customHeight="1">
      <c r="A32" s="404" t="s">
        <v>495</v>
      </c>
      <c r="B32" s="405"/>
      <c r="C32" s="405"/>
      <c r="D32" s="405" t="s">
        <v>59</v>
      </c>
      <c r="E32" s="405"/>
      <c r="F32" s="405"/>
      <c r="G32" s="433" t="s">
        <v>634</v>
      </c>
    </row>
    <row r="33" spans="1:9" ht="16.5" customHeight="1">
      <c r="A33" s="404"/>
      <c r="B33" s="405"/>
      <c r="C33" s="405"/>
      <c r="D33" s="405"/>
      <c r="E33" s="405"/>
      <c r="F33" s="405"/>
      <c r="G33" s="433"/>
    </row>
    <row r="34" spans="1:9" ht="16.5" customHeight="1">
      <c r="A34" s="408" t="s">
        <v>614</v>
      </c>
      <c r="B34" s="434"/>
      <c r="C34" s="434"/>
      <c r="D34" s="434"/>
      <c r="E34" s="434"/>
      <c r="F34" s="434"/>
      <c r="G34" s="435"/>
    </row>
    <row r="35" spans="1:9" ht="16.5" customHeight="1">
      <c r="A35" s="404" t="s">
        <v>485</v>
      </c>
      <c r="B35" s="405"/>
      <c r="C35" s="405">
        <v>2500</v>
      </c>
      <c r="D35" s="405"/>
      <c r="E35" s="405"/>
      <c r="F35" s="405"/>
      <c r="G35" s="433" t="s">
        <v>620</v>
      </c>
    </row>
    <row r="36" spans="1:9" ht="16.5" customHeight="1">
      <c r="A36" s="404" t="s">
        <v>496</v>
      </c>
      <c r="B36" s="405"/>
      <c r="C36" s="405" t="s">
        <v>635</v>
      </c>
      <c r="D36" s="405"/>
      <c r="E36" s="405"/>
      <c r="F36" s="405" t="s">
        <v>59</v>
      </c>
      <c r="G36" s="433"/>
    </row>
    <row r="37" spans="1:9" ht="16.5" customHeight="1">
      <c r="A37" s="404"/>
      <c r="B37" s="405"/>
      <c r="C37" s="405"/>
      <c r="D37" s="405"/>
      <c r="E37" s="405"/>
      <c r="F37" s="405"/>
      <c r="G37" s="433"/>
    </row>
    <row r="38" spans="1:9" ht="16.5" customHeight="1">
      <c r="A38" s="408" t="s">
        <v>611</v>
      </c>
      <c r="B38" s="434"/>
      <c r="C38" s="434"/>
      <c r="D38" s="434"/>
      <c r="E38" s="434"/>
      <c r="F38" s="434"/>
      <c r="G38" s="435"/>
    </row>
    <row r="39" spans="1:9" ht="16.5" customHeight="1">
      <c r="A39" s="404" t="s">
        <v>493</v>
      </c>
      <c r="B39" s="405"/>
      <c r="C39" s="405"/>
      <c r="D39" s="405"/>
      <c r="E39" s="405"/>
      <c r="F39" s="405"/>
      <c r="G39" s="433"/>
    </row>
    <row r="40" spans="1:9" ht="16.5" customHeight="1">
      <c r="A40" s="404" t="s">
        <v>494</v>
      </c>
      <c r="B40" s="405"/>
      <c r="C40" s="405"/>
      <c r="D40" s="405"/>
      <c r="E40" s="405"/>
      <c r="F40" s="405"/>
      <c r="G40" s="433"/>
    </row>
    <row r="41" spans="1:9" ht="16.5" customHeight="1">
      <c r="A41" s="408"/>
      <c r="B41" s="434"/>
      <c r="C41" s="434"/>
      <c r="D41" s="434"/>
      <c r="E41" s="434"/>
      <c r="F41" s="434"/>
      <c r="G41" s="435"/>
    </row>
    <row r="42" spans="1:9" ht="16.5" customHeight="1">
      <c r="A42" s="408" t="s">
        <v>612</v>
      </c>
      <c r="B42" s="434"/>
      <c r="C42" s="434"/>
      <c r="D42" s="434"/>
      <c r="E42" s="434"/>
      <c r="F42" s="434"/>
      <c r="G42" s="435"/>
    </row>
    <row r="43" spans="1:9" ht="16.5" customHeight="1">
      <c r="A43" s="404" t="s">
        <v>613</v>
      </c>
      <c r="B43" s="405"/>
      <c r="C43" s="405"/>
      <c r="D43" s="405"/>
      <c r="E43" s="405"/>
      <c r="F43" s="405"/>
      <c r="G43" s="433"/>
    </row>
    <row r="44" spans="1:9" ht="16.5" customHeight="1">
      <c r="A44" s="404"/>
      <c r="B44" s="405"/>
      <c r="C44" s="405"/>
      <c r="D44" s="405"/>
      <c r="E44" s="405"/>
      <c r="F44" s="405"/>
      <c r="G44" s="433"/>
    </row>
    <row r="45" spans="1:9" ht="16.5" customHeight="1">
      <c r="A45" s="408" t="s">
        <v>81</v>
      </c>
      <c r="B45" s="434"/>
      <c r="C45" s="434"/>
      <c r="D45" s="434"/>
      <c r="E45" s="434"/>
      <c r="F45" s="434"/>
      <c r="G45" s="435"/>
      <c r="I45" s="393">
        <v>1</v>
      </c>
    </row>
    <row r="46" spans="1:9" ht="16.5" customHeight="1">
      <c r="A46" s="404" t="s">
        <v>492</v>
      </c>
      <c r="B46" s="405"/>
      <c r="C46" s="405"/>
      <c r="D46" s="405"/>
      <c r="E46" s="405"/>
      <c r="F46" s="405"/>
      <c r="G46" s="433"/>
    </row>
    <row r="47" spans="1:9" ht="16.5" customHeight="1">
      <c r="A47" s="404" t="s">
        <v>610</v>
      </c>
      <c r="B47" s="405"/>
      <c r="C47" s="405"/>
      <c r="D47" s="405"/>
      <c r="E47" s="405"/>
      <c r="F47" s="405"/>
      <c r="G47" s="433"/>
    </row>
    <row r="48" spans="1:9">
      <c r="A48" s="273"/>
      <c r="B48" s="413"/>
      <c r="C48" s="413"/>
      <c r="D48" s="413"/>
      <c r="E48" s="413"/>
      <c r="F48" s="413"/>
      <c r="G48" s="273"/>
    </row>
    <row r="49" spans="1:7">
      <c r="A49" s="273"/>
      <c r="B49" s="413"/>
      <c r="C49" s="413"/>
      <c r="D49" s="413"/>
      <c r="E49" s="413"/>
      <c r="F49" s="413"/>
      <c r="G49" s="273"/>
    </row>
    <row r="50" spans="1:7">
      <c r="A50" s="273"/>
      <c r="B50" s="413"/>
      <c r="C50" s="413"/>
      <c r="D50" s="413"/>
      <c r="E50" s="413"/>
      <c r="F50" s="413"/>
      <c r="G50" s="273"/>
    </row>
    <row r="51" spans="1:7">
      <c r="A51" s="273"/>
      <c r="B51" s="413"/>
      <c r="C51" s="413"/>
      <c r="D51" s="413"/>
      <c r="E51" s="413"/>
      <c r="F51" s="413"/>
      <c r="G51" s="273"/>
    </row>
  </sheetData>
  <mergeCells count="1">
    <mergeCell ref="D4:F4"/>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tabColor theme="0" tint="-0.14999847407452621"/>
  </sheetPr>
  <dimension ref="A1:L52"/>
  <sheetViews>
    <sheetView zoomScaleNormal="100" workbookViewId="0"/>
  </sheetViews>
  <sheetFormatPr baseColWidth="10" defaultColWidth="11.42578125" defaultRowHeight="12.75"/>
  <cols>
    <col min="1" max="1" width="24.42578125" style="596" customWidth="1"/>
    <col min="2" max="2" width="16.42578125" style="596" customWidth="1"/>
    <col min="3" max="3" width="1.42578125" style="597" customWidth="1"/>
    <col min="4" max="4" width="8.5703125" style="596" customWidth="1"/>
    <col min="5" max="5" width="1.42578125" style="597" customWidth="1"/>
    <col min="6" max="6" width="8.5703125" style="596" customWidth="1"/>
    <col min="7" max="7" width="1.42578125" style="597" customWidth="1"/>
    <col min="8" max="8" width="8.5703125" style="596" customWidth="1"/>
    <col min="9" max="9" width="1.42578125" style="597" customWidth="1"/>
    <col min="10" max="10" width="8.5703125" style="596" customWidth="1"/>
    <col min="11" max="11" width="2.85546875" style="596" customWidth="1"/>
    <col min="12" max="16384" width="11.42578125" style="596"/>
  </cols>
  <sheetData>
    <row r="1" spans="1:12" ht="18.75">
      <c r="A1" s="594" t="s">
        <v>2047</v>
      </c>
      <c r="B1" s="594"/>
      <c r="C1" s="595"/>
    </row>
    <row r="2" spans="1:12" s="598" customFormat="1" ht="12">
      <c r="A2" s="598" t="s">
        <v>808</v>
      </c>
      <c r="C2" s="599"/>
      <c r="E2" s="599"/>
      <c r="G2" s="599"/>
      <c r="I2" s="599"/>
    </row>
    <row r="3" spans="1:12" s="598" customFormat="1" ht="12">
      <c r="C3" s="599"/>
      <c r="E3" s="599"/>
      <c r="G3" s="599"/>
      <c r="I3" s="599"/>
    </row>
    <row r="4" spans="1:12" s="598" customFormat="1" ht="12">
      <c r="C4" s="599"/>
      <c r="E4" s="599"/>
      <c r="G4" s="599"/>
      <c r="I4" s="599"/>
    </row>
    <row r="5" spans="1:12" ht="30" customHeight="1">
      <c r="A5" s="611" t="s">
        <v>754</v>
      </c>
      <c r="B5" s="612"/>
      <c r="C5" s="613"/>
      <c r="D5" s="614" t="s">
        <v>784</v>
      </c>
      <c r="E5" s="615"/>
      <c r="F5" s="614" t="s">
        <v>783</v>
      </c>
      <c r="G5" s="615"/>
      <c r="H5" s="616" t="s">
        <v>782</v>
      </c>
      <c r="I5" s="617"/>
      <c r="J5" s="614" t="s">
        <v>787</v>
      </c>
      <c r="K5" s="621"/>
      <c r="L5" s="598"/>
    </row>
    <row r="6" spans="1:12" ht="6" customHeight="1">
      <c r="A6" s="600"/>
      <c r="B6" s="600"/>
      <c r="C6" s="601"/>
    </row>
    <row r="7" spans="1:12" ht="15" customHeight="1" thickBot="1">
      <c r="A7" s="602" t="s">
        <v>753</v>
      </c>
      <c r="B7" s="602"/>
      <c r="D7" s="610">
        <v>220</v>
      </c>
      <c r="F7" s="610">
        <v>340</v>
      </c>
      <c r="H7" s="109">
        <f>(F7/2)^2*3.14*D7/1000000</f>
        <v>19.964120000000001</v>
      </c>
      <c r="I7" s="603"/>
      <c r="J7" s="109">
        <f>(F7/2)^2*3.14*10/1000000</f>
        <v>0.90746000000000004</v>
      </c>
    </row>
    <row r="8" spans="1:12" ht="15" customHeight="1" thickBot="1">
      <c r="A8" s="604" t="s">
        <v>636</v>
      </c>
      <c r="B8" s="604"/>
      <c r="D8" s="609"/>
      <c r="F8" s="609"/>
      <c r="H8" s="109">
        <f t="shared" ref="H8:H10" si="0">(F8/2)^2*3.14*D8/1000000</f>
        <v>0</v>
      </c>
      <c r="I8" s="603"/>
      <c r="J8" s="109">
        <f>(F8/2)^2*3.14*10/1000000</f>
        <v>0</v>
      </c>
    </row>
    <row r="9" spans="1:12" ht="15" customHeight="1" thickBot="1">
      <c r="A9" s="604" t="s">
        <v>756</v>
      </c>
      <c r="B9" s="604"/>
      <c r="D9" s="609"/>
      <c r="F9" s="609"/>
      <c r="H9" s="109">
        <f t="shared" si="0"/>
        <v>0</v>
      </c>
      <c r="I9" s="603"/>
      <c r="J9" s="109">
        <f>(F9/2)^2*3.14*10/1000000</f>
        <v>0</v>
      </c>
    </row>
    <row r="10" spans="1:12" ht="15" customHeight="1" thickBot="1">
      <c r="A10" s="604" t="s">
        <v>755</v>
      </c>
      <c r="B10" s="604"/>
      <c r="D10" s="609"/>
      <c r="F10" s="609"/>
      <c r="H10" s="109">
        <f t="shared" si="0"/>
        <v>0</v>
      </c>
      <c r="I10" s="603"/>
      <c r="J10" s="109">
        <f>(F10/2)^2*3.14*10/1000000</f>
        <v>0</v>
      </c>
    </row>
    <row r="11" spans="1:12" ht="15" customHeight="1">
      <c r="A11" s="604"/>
      <c r="B11" s="604"/>
      <c r="H11" s="605"/>
      <c r="I11" s="603"/>
      <c r="J11" s="605"/>
    </row>
    <row r="12" spans="1:12" ht="15" customHeight="1" thickBot="1">
      <c r="A12" s="604" t="s">
        <v>785</v>
      </c>
      <c r="B12" s="604"/>
      <c r="D12" s="610"/>
      <c r="F12" s="610"/>
      <c r="H12" s="109">
        <f t="shared" ref="H12:H13" si="1">(F12/2)^2*3.14*D12/1000000</f>
        <v>0</v>
      </c>
      <c r="I12" s="603"/>
      <c r="J12" s="109">
        <f>(F12/2)^2*3.14*10/1000000</f>
        <v>0</v>
      </c>
    </row>
    <row r="13" spans="1:12" ht="15" customHeight="1" thickBot="1">
      <c r="A13" s="604" t="s">
        <v>786</v>
      </c>
      <c r="B13" s="604"/>
      <c r="D13" s="609"/>
      <c r="F13" s="609"/>
      <c r="H13" s="109">
        <f t="shared" si="1"/>
        <v>0</v>
      </c>
      <c r="I13" s="603"/>
      <c r="J13" s="109">
        <f>(F13/2)^2*3.14*10/1000000</f>
        <v>0</v>
      </c>
    </row>
    <row r="16" spans="1:12" ht="15.75">
      <c r="A16" s="611" t="s">
        <v>757</v>
      </c>
      <c r="B16" s="612"/>
      <c r="C16" s="613"/>
      <c r="D16" s="618" t="s">
        <v>759</v>
      </c>
      <c r="E16" s="619"/>
      <c r="F16" s="618"/>
      <c r="G16" s="619"/>
      <c r="H16" s="618"/>
      <c r="I16" s="619"/>
      <c r="J16" s="618"/>
      <c r="K16" s="621"/>
    </row>
    <row r="17" spans="1:11" ht="6" customHeight="1"/>
    <row r="18" spans="1:11" ht="15" customHeight="1" thickBot="1">
      <c r="A18" s="602" t="s">
        <v>760</v>
      </c>
      <c r="B18" s="602" t="s">
        <v>758</v>
      </c>
      <c r="D18" s="610">
        <v>13.5</v>
      </c>
    </row>
    <row r="19" spans="1:11" ht="15" customHeight="1" thickBot="1">
      <c r="A19" s="604" t="s">
        <v>761</v>
      </c>
      <c r="B19" s="604" t="s">
        <v>758</v>
      </c>
      <c r="D19" s="609">
        <v>10.5</v>
      </c>
    </row>
    <row r="20" spans="1:11" ht="15" customHeight="1">
      <c r="A20" s="597"/>
      <c r="B20" s="597"/>
      <c r="D20" s="597"/>
    </row>
    <row r="21" spans="1:11" ht="15" customHeight="1">
      <c r="A21" s="597"/>
      <c r="B21" s="597"/>
      <c r="D21" s="597"/>
    </row>
    <row r="22" spans="1:11" ht="15" customHeight="1">
      <c r="A22" s="597"/>
      <c r="B22" s="597"/>
      <c r="D22" s="597"/>
    </row>
    <row r="23" spans="1:11" ht="15" customHeight="1">
      <c r="A23" s="597"/>
      <c r="B23" s="597"/>
      <c r="D23" s="597"/>
    </row>
    <row r="25" spans="1:11" ht="15.75">
      <c r="A25" s="611" t="s">
        <v>764</v>
      </c>
      <c r="B25" s="618"/>
      <c r="C25" s="619"/>
      <c r="D25" s="618"/>
      <c r="E25" s="619"/>
      <c r="F25" s="618"/>
      <c r="G25" s="619"/>
      <c r="H25" s="618"/>
      <c r="I25" s="619"/>
      <c r="J25" s="618"/>
      <c r="K25" s="621"/>
    </row>
    <row r="26" spans="1:11" ht="6" customHeight="1">
      <c r="A26" s="600"/>
    </row>
    <row r="27" spans="1:11" ht="15" customHeight="1" thickBot="1">
      <c r="A27" s="602" t="s">
        <v>762</v>
      </c>
      <c r="B27" s="602"/>
      <c r="D27" s="610"/>
      <c r="F27" s="681" t="s">
        <v>763</v>
      </c>
    </row>
    <row r="28" spans="1:11" ht="15" customHeight="1" thickBot="1">
      <c r="A28" s="602" t="s">
        <v>788</v>
      </c>
      <c r="B28" s="602" t="s">
        <v>789</v>
      </c>
      <c r="D28" s="609">
        <v>0</v>
      </c>
      <c r="F28" s="680" t="s">
        <v>790</v>
      </c>
      <c r="H28" s="596" t="s">
        <v>791</v>
      </c>
    </row>
    <row r="29" spans="1:11" ht="15" customHeight="1">
      <c r="A29" s="604" t="s">
        <v>765</v>
      </c>
      <c r="B29" s="604" t="s">
        <v>837</v>
      </c>
    </row>
    <row r="30" spans="1:11">
      <c r="B30" s="596" t="s">
        <v>838</v>
      </c>
    </row>
    <row r="32" spans="1:11" ht="15.75">
      <c r="A32" s="611" t="s">
        <v>766</v>
      </c>
      <c r="B32" s="612"/>
      <c r="C32" s="619"/>
      <c r="D32" s="618"/>
      <c r="E32" s="619"/>
      <c r="F32" s="618"/>
      <c r="G32" s="619"/>
      <c r="H32" s="618"/>
      <c r="I32" s="619"/>
      <c r="J32" s="618"/>
      <c r="K32" s="621"/>
    </row>
    <row r="34" spans="1:10" ht="15">
      <c r="A34" s="606" t="s">
        <v>780</v>
      </c>
      <c r="B34" s="606"/>
      <c r="C34" s="607"/>
      <c r="D34" s="699" t="s">
        <v>767</v>
      </c>
      <c r="E34" s="700"/>
      <c r="F34" s="700"/>
      <c r="H34" s="596" t="s">
        <v>805</v>
      </c>
    </row>
    <row r="36" spans="1:10" ht="16.5" customHeight="1">
      <c r="A36" s="608" t="s">
        <v>768</v>
      </c>
      <c r="B36" s="608"/>
      <c r="D36" s="596" t="s">
        <v>769</v>
      </c>
      <c r="F36" s="596" t="s">
        <v>712</v>
      </c>
    </row>
    <row r="37" spans="1:10" ht="15" customHeight="1" thickBot="1">
      <c r="A37" s="602" t="s">
        <v>770</v>
      </c>
      <c r="B37" s="602"/>
      <c r="D37" s="620">
        <v>36.5</v>
      </c>
      <c r="F37" s="596" t="s">
        <v>771</v>
      </c>
      <c r="H37" s="602">
        <f>D37*0.56</f>
        <v>20.440000000000001</v>
      </c>
      <c r="J37" s="596" t="s">
        <v>792</v>
      </c>
    </row>
    <row r="38" spans="1:10" ht="15" customHeight="1" thickBot="1">
      <c r="A38" s="604" t="s">
        <v>799</v>
      </c>
      <c r="B38" s="604" t="s">
        <v>793</v>
      </c>
      <c r="D38" s="593">
        <v>134</v>
      </c>
      <c r="F38" s="596" t="s">
        <v>772</v>
      </c>
    </row>
    <row r="39" spans="1:10" ht="15" customHeight="1" thickBot="1">
      <c r="A39" s="604" t="s">
        <v>800</v>
      </c>
      <c r="B39" s="604" t="s">
        <v>794</v>
      </c>
      <c r="D39" s="593">
        <v>8.3000000000000007</v>
      </c>
      <c r="F39" s="596" t="s">
        <v>772</v>
      </c>
    </row>
    <row r="40" spans="1:10" ht="15" customHeight="1" thickBot="1">
      <c r="A40" s="604" t="s">
        <v>801</v>
      </c>
      <c r="B40" s="604" t="s">
        <v>795</v>
      </c>
      <c r="D40" s="593">
        <v>7.2</v>
      </c>
      <c r="F40" s="596" t="s">
        <v>772</v>
      </c>
    </row>
    <row r="41" spans="1:10" ht="15" customHeight="1" thickBot="1">
      <c r="A41" s="604" t="s">
        <v>773</v>
      </c>
      <c r="B41" s="604" t="s">
        <v>802</v>
      </c>
      <c r="D41" s="593">
        <v>26</v>
      </c>
      <c r="F41" s="596" t="s">
        <v>772</v>
      </c>
    </row>
    <row r="42" spans="1:10" ht="15" customHeight="1" thickBot="1">
      <c r="A42" s="604" t="s">
        <v>803</v>
      </c>
      <c r="B42" s="604" t="s">
        <v>796</v>
      </c>
      <c r="D42" s="593">
        <v>1.4</v>
      </c>
      <c r="F42" s="596" t="s">
        <v>772</v>
      </c>
    </row>
    <row r="43" spans="1:10" ht="15" customHeight="1" thickBot="1">
      <c r="A43" s="604" t="s">
        <v>774</v>
      </c>
      <c r="B43" s="604" t="s">
        <v>797</v>
      </c>
      <c r="D43" s="593">
        <v>13.3</v>
      </c>
      <c r="F43" s="596" t="s">
        <v>772</v>
      </c>
    </row>
    <row r="44" spans="1:10" ht="15" customHeight="1" thickBot="1">
      <c r="A44" s="604" t="s">
        <v>775</v>
      </c>
      <c r="B44" s="604" t="s">
        <v>804</v>
      </c>
      <c r="D44" s="593">
        <v>20.6</v>
      </c>
      <c r="F44" s="596" t="s">
        <v>772</v>
      </c>
    </row>
    <row r="45" spans="1:10" ht="15" customHeight="1" thickBot="1">
      <c r="A45" s="604" t="s">
        <v>776</v>
      </c>
      <c r="B45" s="604" t="s">
        <v>798</v>
      </c>
      <c r="D45" s="593">
        <v>7.1</v>
      </c>
      <c r="F45" s="596" t="s">
        <v>781</v>
      </c>
    </row>
    <row r="46" spans="1:10" ht="15" customHeight="1"/>
    <row r="47" spans="1:10" ht="15" customHeight="1"/>
    <row r="48" spans="1:10" ht="15" customHeight="1"/>
    <row r="49" ht="15" customHeight="1"/>
    <row r="50" ht="15" customHeight="1"/>
    <row r="51" ht="15" customHeight="1"/>
    <row r="52" ht="15" customHeight="1"/>
  </sheetData>
  <mergeCells count="1">
    <mergeCell ref="D34:F34"/>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vt:i4>
      </vt:variant>
    </vt:vector>
  </HeadingPairs>
  <TitlesOfParts>
    <vt:vector size="17" baseType="lpstr">
      <vt:lpstr>Deckblatt</vt:lpstr>
      <vt:lpstr>Bier-Berechnung</vt:lpstr>
      <vt:lpstr>Rezept+Protokoll</vt:lpstr>
      <vt:lpstr>Biersorten</vt:lpstr>
      <vt:lpstr>Malze</vt:lpstr>
      <vt:lpstr>Hopfen</vt:lpstr>
      <vt:lpstr>Hefe</vt:lpstr>
      <vt:lpstr>Brauzusätze</vt:lpstr>
      <vt:lpstr>Eckdaten</vt:lpstr>
      <vt:lpstr>Bierfarbe</vt:lpstr>
      <vt:lpstr>Berechnungen</vt:lpstr>
      <vt:lpstr>Tabellen</vt:lpstr>
      <vt:lpstr>Brennnerleistungen</vt:lpstr>
      <vt:lpstr>Biernamen</vt:lpstr>
      <vt:lpstr>'Bier-Berechnung'!Druckbereich</vt:lpstr>
      <vt:lpstr>Deckblatt!Druckbereich</vt:lpstr>
      <vt:lpstr>'Rezept+Protokoll'!Druckbereich</vt:lpstr>
    </vt:vector>
  </TitlesOfParts>
  <Manager>EigeBier</Manager>
  <Company>EigeBier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Bierbrauen</dc:title>
  <dc:creator>Hans Utz</dc:creator>
  <dc:description>Basis war eine alte Excelversion von Bannmüller aus dem Jahr 2005. 
Ab 2015 habe ich das Tool komplett neu aufgebaut, alle Berechnungen/ Formeln neu eingesetzt, ergänzt und Korrekturen angebracht. Die meisten Berechnungen sind im versteckten Arbeitsblatt "Berechnungen" und zusätzlch geschützt.</dc:description>
  <cp:lastModifiedBy>Marlene Gmür</cp:lastModifiedBy>
  <cp:lastPrinted>2017-09-28T20:26:18Z</cp:lastPrinted>
  <dcterms:created xsi:type="dcterms:W3CDTF">2005-05-09T04:34:04Z</dcterms:created>
  <dcterms:modified xsi:type="dcterms:W3CDTF">2022-05-18T09:53:03Z</dcterms:modified>
  <cp:category>Berechnungstool Bierbrauen</cp:category>
</cp:coreProperties>
</file>